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<sst xmlns="http://schemas.openxmlformats.org/spreadsheetml/2006/main" count="211" uniqueCount="95">
  <si>
    <t>Degrees</t>
  </si>
  <si>
    <t>0*</t>
  </si>
  <si>
    <t>20*</t>
  </si>
  <si>
    <t>40*</t>
  </si>
  <si>
    <t>60*</t>
  </si>
  <si>
    <t>Trial Number</t>
  </si>
  <si>
    <t>#1</t>
  </si>
  <si>
    <t>#2</t>
  </si>
  <si>
    <t>#3</t>
  </si>
  <si>
    <t>#4</t>
  </si>
  <si>
    <t>30 MPH</t>
  </si>
  <si>
    <t>Time S</t>
  </si>
  <si>
    <t>0.45 0.5 0.48</t>
  </si>
  <si>
    <t>.54 .52 .46</t>
  </si>
  <si>
    <t>.36 .46 .56</t>
  </si>
  <si>
    <t>.5 .52. 55</t>
  </si>
  <si>
    <t>1.16 1.07 1.01</t>
  </si>
  <si>
    <t>1.39 1.30 1.38</t>
  </si>
  <si>
    <t>1.18 0.98 1.08</t>
  </si>
  <si>
    <t>0.98 0.95 0.93</t>
  </si>
  <si>
    <t>1.78 1.89 1.65</t>
  </si>
  <si>
    <t>1.75 2.05 2.05</t>
  </si>
  <si>
    <t>1.91 1.63 1.70</t>
  </si>
  <si>
    <t>xxxx</t>
  </si>
  <si>
    <t>2.45 2.40 2.53</t>
  </si>
  <si>
    <t>2.39 2.40 2.46</t>
  </si>
  <si>
    <t>2.22 2.38 2.38</t>
  </si>
  <si>
    <t>Distance M</t>
  </si>
  <si>
    <t>45 MPH</t>
  </si>
  <si>
    <t>.6 .63. 56</t>
  </si>
  <si>
    <t>.6 .58 .55</t>
  </si>
  <si>
    <t>.46 .53 .60</t>
  </si>
  <si>
    <t>.53 .65 .52</t>
  </si>
  <si>
    <t>1.65 1.60 1.885</t>
  </si>
  <si>
    <t>1.76 1.52 1.65</t>
  </si>
  <si>
    <t>1.70 1.55 1.53</t>
  </si>
  <si>
    <t>1.80 1.60 1.68</t>
  </si>
  <si>
    <t>2.91 2.89 2.68</t>
  </si>
  <si>
    <t>3.06 2.76 xx</t>
  </si>
  <si>
    <t>2.91 2.73 2.86</t>
  </si>
  <si>
    <t>3.81 3.75 3.70</t>
  </si>
  <si>
    <t>3.76 3.70 3.69</t>
  </si>
  <si>
    <t>3.80 3.90 3.82</t>
  </si>
  <si>
    <t>60 MPH</t>
  </si>
  <si>
    <t>.7 .46. 48</t>
  </si>
  <si>
    <t>.46 .66 .65</t>
  </si>
  <si>
    <t>.51 .62 xx</t>
  </si>
  <si>
    <t>.65 .58 .53</t>
  </si>
  <si>
    <t>2.41 2.16 2.23</t>
  </si>
  <si>
    <t>2.50 2.26 2.52</t>
  </si>
  <si>
    <t>2.28 2.12 xx</t>
  </si>
  <si>
    <t>2.65 2.13 2.25</t>
  </si>
  <si>
    <t>3.66 3.78 xx</t>
  </si>
  <si>
    <t>3.78 3.89 3.50</t>
  </si>
  <si>
    <t>3.66 3.78 3.58</t>
  </si>
  <si>
    <t>4.95 4.88 4.71</t>
  </si>
  <si>
    <t>5.05 4.83 4.81</t>
  </si>
  <si>
    <t>4.99 4.78 5.18</t>
  </si>
  <si>
    <t>75 MPH</t>
  </si>
  <si>
    <t>.62. 76. xx</t>
  </si>
  <si>
    <t>.83 .73 .83</t>
  </si>
  <si>
    <t>.53 .81 .75</t>
  </si>
  <si>
    <t>.72 .68 .58</t>
  </si>
  <si>
    <t>2.60 2.81 2.72</t>
  </si>
  <si>
    <t>2.78 2.95 2.52</t>
  </si>
  <si>
    <t>2.68 2.43 2.30</t>
  </si>
  <si>
    <t>4.63 4.70 4.45</t>
  </si>
  <si>
    <t>4.53 4.59 4.38</t>
  </si>
  <si>
    <t>4.43 4.45 xx</t>
  </si>
  <si>
    <t>5.98 5.93 5.76</t>
  </si>
  <si>
    <t>5.90 5.86 xx</t>
  </si>
  <si>
    <t>5.76 5.71 5.85</t>
  </si>
  <si>
    <t>90 MPH</t>
  </si>
  <si>
    <t>.63 .67 .93</t>
  </si>
  <si>
    <t>.76 .79 .66</t>
  </si>
  <si>
    <t>.80 .65 .72</t>
  </si>
  <si>
    <t>.73 .75 .7</t>
  </si>
  <si>
    <t>2.7 2.69 2.42</t>
  </si>
  <si>
    <t>3.28 3.30 3.00</t>
  </si>
  <si>
    <t>3.38 3.56 3.05</t>
  </si>
  <si>
    <t>2.86 2.76 2.65</t>
  </si>
  <si>
    <t>5.13 5.18 4.91</t>
  </si>
  <si>
    <t>5.20 5.48 5.08</t>
  </si>
  <si>
    <t>5.32 5.15 4.98</t>
  </si>
  <si>
    <t>6.50 6.18 6.41</t>
  </si>
  <si>
    <t>6.38 6.15 6.48</t>
  </si>
  <si>
    <t>6.33 6.13 6.58</t>
  </si>
  <si>
    <t>SUVAT</t>
  </si>
  <si>
    <t>Measured</t>
  </si>
  <si>
    <t>m/s</t>
  </si>
  <si>
    <t>Time (S)</t>
  </si>
  <si>
    <t>Distance (M)</t>
  </si>
  <si>
    <t>Percent Error</t>
  </si>
  <si>
    <t>Time (s)</t>
  </si>
  <si>
    <t>Distance (m)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</si>
</sst>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3">
    <font>
      <sz val="10.0"/>
      <color rgb="FF000000"/>
      <name val="Arial"/>
    </font>
    <font>
      <sz val="11.0"/>
      <color rgb="FF000000"/>
      <name val="Calibri"/>
    </font>
    <font/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EA9999"/>
        <bgColor rgb="FFEA9999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shrinkToFit="0" vertical="bottom" wrapText="0"/>
    </xf>
    <xf borderId="3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horizontal="right"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5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6" fillId="0" fontId="1" numFmtId="0" xfId="0" applyAlignment="1" applyBorder="1" applyFont="1">
      <alignment horizontal="right" readingOrder="0" shrinkToFit="0" vertical="bottom" wrapText="0"/>
    </xf>
    <xf borderId="7" fillId="0" fontId="1" numFmtId="0" xfId="0" applyAlignment="1" applyBorder="1" applyFont="1">
      <alignment horizontal="right" readingOrder="0" shrinkToFit="0" vertical="bottom" wrapText="0"/>
    </xf>
    <xf borderId="7" fillId="0" fontId="1" numFmtId="0" xfId="0" applyAlignment="1" applyBorder="1" applyFont="1">
      <alignment readingOrder="0" shrinkToFit="0" vertical="bottom" wrapText="0"/>
    </xf>
    <xf borderId="8" fillId="0" fontId="1" numFmtId="0" xfId="0" applyAlignment="1" applyBorder="1" applyFont="1">
      <alignment readingOrder="0" shrinkToFit="0" vertical="bottom" wrapText="0"/>
    </xf>
    <xf borderId="0" fillId="0" fontId="1" numFmtId="164" xfId="0" applyAlignment="1" applyFont="1" applyNumberFormat="1">
      <alignment readingOrder="0" shrinkToFit="0" vertical="bottom" wrapText="0"/>
    </xf>
    <xf borderId="1" fillId="0" fontId="1" numFmtId="164" xfId="0" applyAlignment="1" applyBorder="1" applyFont="1" applyNumberFormat="1">
      <alignment readingOrder="0" shrinkToFit="0" vertical="bottom" wrapText="0"/>
    </xf>
    <xf borderId="2" fillId="0" fontId="1" numFmtId="164" xfId="0" applyAlignment="1" applyBorder="1" applyFont="1" applyNumberFormat="1">
      <alignment readingOrder="0" shrinkToFit="0" vertical="bottom" wrapText="0"/>
    </xf>
    <xf borderId="3" fillId="0" fontId="1" numFmtId="164" xfId="0" applyAlignment="1" applyBorder="1" applyFont="1" applyNumberFormat="1">
      <alignment readingOrder="0" shrinkToFit="0" vertical="bottom" wrapText="0"/>
    </xf>
    <xf borderId="0" fillId="0" fontId="2" numFmtId="164" xfId="0" applyFont="1" applyNumberFormat="1"/>
    <xf borderId="4" fillId="0" fontId="1" numFmtId="164" xfId="0" applyAlignment="1" applyBorder="1" applyFont="1" applyNumberFormat="1">
      <alignment readingOrder="0" shrinkToFit="0" vertical="bottom" wrapText="0"/>
    </xf>
    <xf borderId="5" fillId="0" fontId="1" numFmtId="164" xfId="0" applyAlignment="1" applyBorder="1" applyFont="1" applyNumberFormat="1">
      <alignment readingOrder="0" shrinkToFit="0" vertical="bottom" wrapText="0"/>
    </xf>
    <xf borderId="0" fillId="0" fontId="2" numFmtId="0" xfId="0" applyAlignment="1" applyFont="1">
      <alignment readingOrder="0"/>
    </xf>
    <xf borderId="9" fillId="2" fontId="2" numFmtId="0" xfId="0" applyAlignment="1" applyBorder="1" applyFill="1" applyFont="1">
      <alignment readingOrder="0"/>
    </xf>
    <xf borderId="10" fillId="3" fontId="2" numFmtId="0" xfId="0" applyAlignment="1" applyBorder="1" applyFill="1" applyFont="1">
      <alignment readingOrder="0"/>
    </xf>
    <xf borderId="11" fillId="3" fontId="2" numFmtId="0" xfId="0" applyAlignment="1" applyBorder="1" applyFont="1">
      <alignment readingOrder="0"/>
    </xf>
    <xf borderId="12" fillId="3" fontId="2" numFmtId="0" xfId="0" applyAlignment="1" applyBorder="1" applyFont="1">
      <alignment readingOrder="0"/>
    </xf>
    <xf borderId="13" fillId="4" fontId="2" numFmtId="0" xfId="0" applyAlignment="1" applyBorder="1" applyFill="1" applyFont="1">
      <alignment readingOrder="0"/>
    </xf>
    <xf borderId="1" fillId="5" fontId="2" numFmtId="164" xfId="0" applyBorder="1" applyFill="1" applyFont="1" applyNumberFormat="1"/>
    <xf borderId="2" fillId="5" fontId="2" numFmtId="164" xfId="0" applyBorder="1" applyFont="1" applyNumberFormat="1"/>
    <xf borderId="3" fillId="5" fontId="2" numFmtId="164" xfId="0" applyBorder="1" applyFont="1" applyNumberFormat="1"/>
    <xf borderId="0" fillId="5" fontId="2" numFmtId="164" xfId="0" applyFont="1" applyNumberFormat="1"/>
    <xf borderId="5" fillId="5" fontId="2" numFmtId="164" xfId="0" applyBorder="1" applyFont="1" applyNumberFormat="1"/>
    <xf borderId="14" fillId="4" fontId="2" numFmtId="0" xfId="0" applyAlignment="1" applyBorder="1" applyFont="1">
      <alignment readingOrder="0"/>
    </xf>
    <xf borderId="4" fillId="5" fontId="2" numFmtId="164" xfId="0" applyBorder="1" applyFont="1" applyNumberFormat="1"/>
    <xf borderId="6" fillId="5" fontId="2" numFmtId="164" xfId="0" applyBorder="1" applyFont="1" applyNumberFormat="1"/>
    <xf borderId="7" fillId="5" fontId="2" numFmtId="164" xfId="0" applyBorder="1" applyFont="1" applyNumberFormat="1"/>
    <xf borderId="8" fillId="5" fontId="2" numFmtId="164" xfId="0" applyBorder="1" applyFont="1" applyNumberFormat="1"/>
    <xf borderId="15" fillId="4" fontId="2" numFmtId="0" xfId="0" applyAlignment="1" applyBorder="1" applyFont="1">
      <alignment readingOrder="0"/>
    </xf>
    <xf borderId="9" fillId="5" fontId="2" numFmtId="0" xfId="0" applyAlignment="1" applyBorder="1" applyFont="1">
      <alignment readingOrder="0"/>
    </xf>
    <xf borderId="1" fillId="3" fontId="2" numFmtId="0" xfId="0" applyAlignment="1" applyBorder="1" applyFont="1">
      <alignment readingOrder="0"/>
    </xf>
    <xf borderId="2" fillId="3" fontId="2" numFmtId="0" xfId="0" applyAlignment="1" applyBorder="1" applyFont="1">
      <alignment readingOrder="0"/>
    </xf>
    <xf borderId="1" fillId="4" fontId="2" numFmtId="0" xfId="0" applyAlignment="1" applyBorder="1" applyFont="1">
      <alignment readingOrder="0"/>
    </xf>
    <xf borderId="1" fillId="6" fontId="2" numFmtId="164" xfId="0" applyBorder="1" applyFill="1" applyFont="1" applyNumberFormat="1"/>
    <xf borderId="2" fillId="6" fontId="2" numFmtId="164" xfId="0" applyBorder="1" applyFont="1" applyNumberFormat="1"/>
    <xf borderId="3" fillId="6" fontId="2" numFmtId="164" xfId="0" applyBorder="1" applyFont="1" applyNumberFormat="1"/>
    <xf borderId="4" fillId="4" fontId="2" numFmtId="0" xfId="0" applyAlignment="1" applyBorder="1" applyFont="1">
      <alignment readingOrder="0"/>
    </xf>
    <xf borderId="4" fillId="6" fontId="2" numFmtId="164" xfId="0" applyBorder="1" applyFont="1" applyNumberFormat="1"/>
    <xf borderId="0" fillId="6" fontId="2" numFmtId="164" xfId="0" applyFont="1" applyNumberFormat="1"/>
    <xf borderId="5" fillId="6" fontId="2" numFmtId="164" xfId="0" applyBorder="1" applyFont="1" applyNumberFormat="1"/>
    <xf borderId="6" fillId="6" fontId="2" numFmtId="164" xfId="0" applyBorder="1" applyFont="1" applyNumberFormat="1"/>
    <xf borderId="7" fillId="6" fontId="2" numFmtId="164" xfId="0" applyBorder="1" applyFont="1" applyNumberFormat="1"/>
    <xf borderId="8" fillId="6" fontId="2" numFmtId="164" xfId="0" applyBorder="1" applyFont="1" applyNumberFormat="1"/>
    <xf borderId="9" fillId="6" fontId="2" numFmtId="0" xfId="0" applyAlignment="1" applyBorder="1" applyFont="1">
      <alignment readingOrder="0"/>
    </xf>
    <xf borderId="1" fillId="7" fontId="2" numFmtId="10" xfId="0" applyAlignment="1" applyBorder="1" applyFill="1" applyFont="1" applyNumberFormat="1">
      <alignment readingOrder="0"/>
    </xf>
    <xf borderId="2" fillId="7" fontId="2" numFmtId="10" xfId="0" applyAlignment="1" applyBorder="1" applyFont="1" applyNumberFormat="1">
      <alignment readingOrder="0"/>
    </xf>
    <xf borderId="3" fillId="7" fontId="2" numFmtId="10" xfId="0" applyAlignment="1" applyBorder="1" applyFont="1" applyNumberFormat="1">
      <alignment readingOrder="0"/>
    </xf>
    <xf borderId="4" fillId="7" fontId="2" numFmtId="10" xfId="0" applyAlignment="1" applyBorder="1" applyFont="1" applyNumberFormat="1">
      <alignment readingOrder="0"/>
    </xf>
    <xf borderId="0" fillId="7" fontId="2" numFmtId="10" xfId="0" applyAlignment="1" applyFont="1" applyNumberFormat="1">
      <alignment readingOrder="0"/>
    </xf>
    <xf borderId="5" fillId="7" fontId="2" numFmtId="10" xfId="0" applyAlignment="1" applyBorder="1" applyFont="1" applyNumberFormat="1">
      <alignment readingOrder="0"/>
    </xf>
    <xf borderId="6" fillId="7" fontId="2" numFmtId="10" xfId="0" applyAlignment="1" applyBorder="1" applyFont="1" applyNumberFormat="1">
      <alignment readingOrder="0"/>
    </xf>
    <xf borderId="7" fillId="7" fontId="2" numFmtId="10" xfId="0" applyAlignment="1" applyBorder="1" applyFont="1" applyNumberFormat="1">
      <alignment readingOrder="0"/>
    </xf>
    <xf borderId="8" fillId="7" fontId="2" numFmtId="10" xfId="0" applyAlignment="1" applyBorder="1" applyFont="1" applyNumberFormat="1">
      <alignment readingOrder="0"/>
    </xf>
    <xf borderId="9" fillId="7" fontId="2" numFmtId="0" xfId="0" applyAlignment="1" applyBorder="1" applyFont="1">
      <alignment readingOrder="0"/>
    </xf>
    <xf borderId="1" fillId="7" fontId="2" numFmtId="10" xfId="0" applyBorder="1" applyFont="1" applyNumberFormat="1"/>
    <xf borderId="2" fillId="7" fontId="2" numFmtId="10" xfId="0" applyBorder="1" applyFont="1" applyNumberFormat="1"/>
    <xf borderId="3" fillId="7" fontId="2" numFmtId="10" xfId="0" applyBorder="1" applyFont="1" applyNumberFormat="1"/>
    <xf borderId="4" fillId="7" fontId="2" numFmtId="10" xfId="0" applyBorder="1" applyFont="1" applyNumberFormat="1"/>
    <xf borderId="0" fillId="7" fontId="2" numFmtId="10" xfId="0" applyFont="1" applyNumberFormat="1"/>
    <xf borderId="5" fillId="7" fontId="2" numFmtId="10" xfId="0" applyBorder="1" applyFont="1" applyNumberFormat="1"/>
    <xf borderId="6" fillId="7" fontId="2" numFmtId="10" xfId="0" applyBorder="1" applyFont="1" applyNumberFormat="1"/>
    <xf borderId="7" fillId="7" fontId="2" numFmtId="10" xfId="0" applyBorder="1" applyFont="1" applyNumberFormat="1"/>
    <xf borderId="8" fillId="7" fontId="2" numFmtId="10" xfId="0" applyBorder="1" applyFont="1" applyNumberForma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/>
      <c r="D1" s="2"/>
      <c r="E1" s="2"/>
      <c r="F1" s="2"/>
      <c r="G1" s="1" t="s">
        <v>2</v>
      </c>
      <c r="H1" s="2"/>
      <c r="I1" s="2"/>
      <c r="J1" s="2"/>
      <c r="K1" s="1" t="s">
        <v>3</v>
      </c>
      <c r="L1" s="2"/>
      <c r="M1" s="2"/>
      <c r="N1" s="2"/>
      <c r="O1" s="1" t="s">
        <v>4</v>
      </c>
      <c r="P1" s="2"/>
      <c r="Q1" s="2"/>
      <c r="R1" s="2"/>
    </row>
    <row r="2">
      <c r="A2" s="2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6</v>
      </c>
      <c r="P2" s="1" t="s">
        <v>7</v>
      </c>
      <c r="Q2" s="1" t="s">
        <v>8</v>
      </c>
      <c r="R2" s="1" t="s">
        <v>9</v>
      </c>
    </row>
    <row r="3">
      <c r="A3" s="1" t="s">
        <v>10</v>
      </c>
      <c r="B3" s="1" t="s">
        <v>11</v>
      </c>
      <c r="C3" s="3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25</v>
      </c>
      <c r="Q3" s="4" t="s">
        <v>26</v>
      </c>
      <c r="R3" s="5" t="s">
        <v>23</v>
      </c>
    </row>
    <row r="4">
      <c r="A4" s="2"/>
      <c r="B4" s="1" t="s">
        <v>27</v>
      </c>
      <c r="C4" s="6">
        <v>5.4</v>
      </c>
      <c r="D4" s="7">
        <v>5.4</v>
      </c>
      <c r="E4" s="7">
        <v>5.8</v>
      </c>
      <c r="F4" s="7">
        <v>7.6</v>
      </c>
      <c r="G4" s="7">
        <v>14.3</v>
      </c>
      <c r="H4" s="7">
        <v>13.9</v>
      </c>
      <c r="I4" s="7">
        <v>14.1</v>
      </c>
      <c r="J4" s="7">
        <v>13.5</v>
      </c>
      <c r="K4" s="7">
        <v>17.7</v>
      </c>
      <c r="L4" s="7">
        <v>17.9</v>
      </c>
      <c r="M4" s="7">
        <v>17.7</v>
      </c>
      <c r="N4" s="1" t="s">
        <v>23</v>
      </c>
      <c r="O4" s="7">
        <v>14.7</v>
      </c>
      <c r="P4" s="7">
        <v>15.1</v>
      </c>
      <c r="Q4" s="7">
        <v>15.0</v>
      </c>
      <c r="R4" s="8" t="s">
        <v>23</v>
      </c>
    </row>
    <row r="5">
      <c r="A5" s="1" t="s">
        <v>28</v>
      </c>
      <c r="B5" s="1" t="s">
        <v>11</v>
      </c>
      <c r="C5" s="9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23</v>
      </c>
      <c r="O5" s="1" t="s">
        <v>40</v>
      </c>
      <c r="P5" s="1" t="s">
        <v>41</v>
      </c>
      <c r="Q5" s="1" t="s">
        <v>42</v>
      </c>
      <c r="R5" s="8" t="s">
        <v>23</v>
      </c>
    </row>
    <row r="6">
      <c r="A6" s="2"/>
      <c r="B6" s="1" t="s">
        <v>27</v>
      </c>
      <c r="C6" s="6">
        <v>13.9</v>
      </c>
      <c r="D6" s="7">
        <v>14.9</v>
      </c>
      <c r="E6" s="7">
        <v>12.8</v>
      </c>
      <c r="F6" s="7">
        <v>13.8</v>
      </c>
      <c r="G6" s="7">
        <v>32.5</v>
      </c>
      <c r="H6" s="7">
        <v>32.2</v>
      </c>
      <c r="I6" s="7">
        <v>32.7</v>
      </c>
      <c r="J6" s="7">
        <v>33.4</v>
      </c>
      <c r="K6" s="7">
        <v>42.2</v>
      </c>
      <c r="L6" s="7">
        <v>43.9</v>
      </c>
      <c r="M6" s="7">
        <v>43.2</v>
      </c>
      <c r="N6" s="1" t="s">
        <v>23</v>
      </c>
      <c r="O6" s="7">
        <v>36.05</v>
      </c>
      <c r="P6" s="7">
        <v>35.6</v>
      </c>
      <c r="Q6" s="7">
        <v>36.8</v>
      </c>
      <c r="R6" s="8" t="s">
        <v>23</v>
      </c>
    </row>
    <row r="7">
      <c r="A7" s="1" t="s">
        <v>43</v>
      </c>
      <c r="B7" s="1" t="s">
        <v>11</v>
      </c>
      <c r="C7" s="9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23</v>
      </c>
      <c r="O7" s="1" t="s">
        <v>55</v>
      </c>
      <c r="P7" s="1" t="s">
        <v>56</v>
      </c>
      <c r="Q7" s="1" t="s">
        <v>57</v>
      </c>
      <c r="R7" s="8" t="s">
        <v>23</v>
      </c>
    </row>
    <row r="8">
      <c r="A8" s="2"/>
      <c r="B8" s="1" t="s">
        <v>27</v>
      </c>
      <c r="C8" s="6">
        <v>13.1</v>
      </c>
      <c r="D8" s="7">
        <v>19.2</v>
      </c>
      <c r="E8" s="7">
        <v>15.7</v>
      </c>
      <c r="F8" s="7">
        <v>19.5</v>
      </c>
      <c r="G8" s="7">
        <v>56.1</v>
      </c>
      <c r="H8" s="7">
        <v>55.4</v>
      </c>
      <c r="I8" s="7">
        <v>56.0</v>
      </c>
      <c r="J8" s="7">
        <v>55.9</v>
      </c>
      <c r="K8" s="7">
        <v>69.6</v>
      </c>
      <c r="L8" s="7">
        <v>67.5</v>
      </c>
      <c r="M8" s="7">
        <v>67.7</v>
      </c>
      <c r="N8" s="1" t="s">
        <v>23</v>
      </c>
      <c r="O8" s="7">
        <v>53.9</v>
      </c>
      <c r="P8" s="7">
        <v>54.3</v>
      </c>
      <c r="Q8" s="7">
        <v>52.3</v>
      </c>
      <c r="R8" s="8" t="s">
        <v>23</v>
      </c>
    </row>
    <row r="9">
      <c r="A9" s="1" t="s">
        <v>58</v>
      </c>
      <c r="B9" s="1" t="s">
        <v>11</v>
      </c>
      <c r="C9" s="9" t="s">
        <v>59</v>
      </c>
      <c r="D9" s="1" t="s">
        <v>60</v>
      </c>
      <c r="E9" s="1" t="s">
        <v>61</v>
      </c>
      <c r="F9" s="1" t="s">
        <v>62</v>
      </c>
      <c r="G9" s="1" t="s">
        <v>63</v>
      </c>
      <c r="H9" s="1" t="s">
        <v>64</v>
      </c>
      <c r="I9" s="1" t="s">
        <v>65</v>
      </c>
      <c r="J9" s="1" t="s">
        <v>23</v>
      </c>
      <c r="K9" s="1" t="s">
        <v>66</v>
      </c>
      <c r="L9" s="1" t="s">
        <v>67</v>
      </c>
      <c r="M9" s="1" t="s">
        <v>68</v>
      </c>
      <c r="N9" s="1" t="s">
        <v>23</v>
      </c>
      <c r="O9" s="1" t="s">
        <v>69</v>
      </c>
      <c r="P9" s="1" t="s">
        <v>70</v>
      </c>
      <c r="Q9" s="1" t="s">
        <v>71</v>
      </c>
      <c r="R9" s="8" t="s">
        <v>23</v>
      </c>
    </row>
    <row r="10">
      <c r="A10" s="2"/>
      <c r="B10" s="1" t="s">
        <v>27</v>
      </c>
      <c r="C10" s="6">
        <v>30.1</v>
      </c>
      <c r="D10" s="7">
        <v>30.2</v>
      </c>
      <c r="E10" s="7">
        <v>28.3</v>
      </c>
      <c r="F10" s="7">
        <v>26.3</v>
      </c>
      <c r="G10" s="7">
        <v>73.9</v>
      </c>
      <c r="H10" s="7">
        <v>73.9</v>
      </c>
      <c r="I10" s="7">
        <v>71.3</v>
      </c>
      <c r="J10" s="1" t="s">
        <v>23</v>
      </c>
      <c r="K10" s="7">
        <v>88.7</v>
      </c>
      <c r="L10" s="7">
        <v>92.2</v>
      </c>
      <c r="M10" s="7">
        <v>91.5</v>
      </c>
      <c r="N10" s="1" t="s">
        <v>23</v>
      </c>
      <c r="O10" s="7">
        <v>73.0</v>
      </c>
      <c r="P10" s="7">
        <v>73.2</v>
      </c>
      <c r="Q10" s="7">
        <v>77.0</v>
      </c>
      <c r="R10" s="8" t="s">
        <v>23</v>
      </c>
    </row>
    <row r="11">
      <c r="A11" s="1" t="s">
        <v>72</v>
      </c>
      <c r="B11" s="1" t="s">
        <v>11</v>
      </c>
      <c r="C11" s="9" t="s">
        <v>73</v>
      </c>
      <c r="D11" s="1" t="s">
        <v>74</v>
      </c>
      <c r="E11" s="1" t="s">
        <v>75</v>
      </c>
      <c r="F11" s="1" t="s">
        <v>76</v>
      </c>
      <c r="G11" s="1" t="s">
        <v>77</v>
      </c>
      <c r="H11" s="1" t="s">
        <v>78</v>
      </c>
      <c r="I11" s="1" t="s">
        <v>79</v>
      </c>
      <c r="J11" s="1" t="s">
        <v>80</v>
      </c>
      <c r="K11" s="1" t="s">
        <v>81</v>
      </c>
      <c r="L11" s="1" t="s">
        <v>82</v>
      </c>
      <c r="M11" s="1" t="s">
        <v>83</v>
      </c>
      <c r="N11" s="1" t="s">
        <v>23</v>
      </c>
      <c r="O11" s="1" t="s">
        <v>84</v>
      </c>
      <c r="P11" s="1" t="s">
        <v>85</v>
      </c>
      <c r="Q11" s="1" t="s">
        <v>86</v>
      </c>
      <c r="R11" s="8" t="s">
        <v>23</v>
      </c>
    </row>
    <row r="12">
      <c r="A12" s="2"/>
      <c r="B12" s="1" t="s">
        <v>27</v>
      </c>
      <c r="C12" s="10">
        <v>22.75</v>
      </c>
      <c r="D12" s="11">
        <v>33.8</v>
      </c>
      <c r="E12" s="11">
        <v>31.7</v>
      </c>
      <c r="F12" s="11">
        <v>30.4</v>
      </c>
      <c r="G12" s="11">
        <v>79.6</v>
      </c>
      <c r="H12" s="11">
        <v>92.2</v>
      </c>
      <c r="I12" s="11">
        <v>97.2</v>
      </c>
      <c r="J12" s="11">
        <v>83.2</v>
      </c>
      <c r="K12" s="11">
        <v>112.0</v>
      </c>
      <c r="L12" s="11">
        <v>120.0</v>
      </c>
      <c r="M12" s="11">
        <v>120.8</v>
      </c>
      <c r="N12" s="12" t="s">
        <v>23</v>
      </c>
      <c r="O12" s="11">
        <v>83.9</v>
      </c>
      <c r="P12" s="11">
        <v>89.0</v>
      </c>
      <c r="Q12" s="11">
        <v>85.9</v>
      </c>
      <c r="R12" s="13" t="s">
        <v>23</v>
      </c>
    </row>
    <row r="14">
      <c r="A14" s="1" t="s">
        <v>0</v>
      </c>
      <c r="B14" s="1" t="s">
        <v>1</v>
      </c>
      <c r="C14" s="2"/>
      <c r="D14" s="2"/>
      <c r="E14" s="2"/>
      <c r="F14" s="2"/>
      <c r="G14" s="1" t="s">
        <v>2</v>
      </c>
      <c r="H14" s="2"/>
      <c r="I14" s="2"/>
      <c r="J14" s="2"/>
      <c r="K14" s="1" t="s">
        <v>3</v>
      </c>
      <c r="L14" s="2"/>
      <c r="M14" s="2"/>
      <c r="N14" s="2"/>
      <c r="O14" s="1" t="s">
        <v>4</v>
      </c>
      <c r="P14" s="2"/>
      <c r="Q14" s="2"/>
      <c r="R14" s="2"/>
    </row>
    <row r="15">
      <c r="A15" s="2"/>
      <c r="B15" s="1" t="s">
        <v>5</v>
      </c>
      <c r="C15" s="1" t="s">
        <v>6</v>
      </c>
      <c r="D15" s="1" t="s">
        <v>7</v>
      </c>
      <c r="E15" s="1" t="s">
        <v>8</v>
      </c>
      <c r="F15" s="1" t="s">
        <v>9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6</v>
      </c>
      <c r="L15" s="1" t="s">
        <v>7</v>
      </c>
      <c r="M15" s="1" t="s">
        <v>8</v>
      </c>
      <c r="N15" s="1" t="s">
        <v>9</v>
      </c>
      <c r="O15" s="1" t="s">
        <v>6</v>
      </c>
      <c r="P15" s="1" t="s">
        <v>7</v>
      </c>
      <c r="Q15" s="1" t="s">
        <v>8</v>
      </c>
      <c r="R15" s="1" t="s">
        <v>9</v>
      </c>
    </row>
    <row r="16">
      <c r="A16" s="14" t="s">
        <v>10</v>
      </c>
      <c r="B16" s="14" t="s">
        <v>11</v>
      </c>
      <c r="C16" s="15">
        <f>AVERAGE(0.45, 0.5, 0.48)</f>
        <v>0.4766666667</v>
      </c>
      <c r="D16" s="16">
        <f>AVERAGE(0.54, 0.52, 0.46)</f>
        <v>0.5066666667</v>
      </c>
      <c r="E16" s="16">
        <f>AVERAGE(0.36, 0.46, 0.56)</f>
        <v>0.46</v>
      </c>
      <c r="F16" s="16">
        <f>AVERAGE(0.5, 0.52,0.55)</f>
        <v>0.5233333333</v>
      </c>
      <c r="G16" s="16">
        <f>AVERAGE(1.16,1.07,1.01)</f>
        <v>1.08</v>
      </c>
      <c r="H16" s="16">
        <f>AVERAGE(1.39, 1.3, 1.38)</f>
        <v>1.356666667</v>
      </c>
      <c r="I16" s="16">
        <f>AVERAGE(1.18, 0.98, 1.08)</f>
        <v>1.08</v>
      </c>
      <c r="J16" s="16">
        <f>AVERAGE(0.98, 0.95, 0.93)</f>
        <v>0.9533333333</v>
      </c>
      <c r="K16" s="16">
        <f>AVERAGE(1.78,1.89,1.65)</f>
        <v>1.773333333</v>
      </c>
      <c r="L16" s="16">
        <f>AVERAGE(1.75, 2.05, 2.05)</f>
        <v>1.95</v>
      </c>
      <c r="M16" s="16">
        <f>AVERAGE(1.91, 1.63, 1.7)</f>
        <v>1.746666667</v>
      </c>
      <c r="N16" s="16" t="s">
        <v>23</v>
      </c>
      <c r="O16" s="16">
        <f>AVERAGE(2.45,2.4,2.53)</f>
        <v>2.46</v>
      </c>
      <c r="P16" s="16">
        <f>AVERAGE(2.39, 2.4, 2.46)</f>
        <v>2.416666667</v>
      </c>
      <c r="Q16" s="16">
        <f>AVERAGE(2.22, 2.38, 2.38)</f>
        <v>2.326666667</v>
      </c>
      <c r="R16" s="17" t="s">
        <v>23</v>
      </c>
      <c r="S16" s="18"/>
      <c r="T16" s="18"/>
      <c r="U16" s="18"/>
      <c r="V16" s="18"/>
      <c r="W16" s="18"/>
      <c r="X16" s="18"/>
      <c r="Y16" s="18"/>
      <c r="Z16" s="18"/>
    </row>
    <row r="17">
      <c r="A17" s="2"/>
      <c r="B17" s="1" t="s">
        <v>27</v>
      </c>
      <c r="C17" s="6">
        <v>5.4</v>
      </c>
      <c r="D17" s="7">
        <v>5.4</v>
      </c>
      <c r="E17" s="7">
        <v>5.8</v>
      </c>
      <c r="F17" s="7">
        <v>7.6</v>
      </c>
      <c r="G17" s="7">
        <v>14.3</v>
      </c>
      <c r="H17" s="7">
        <v>13.9</v>
      </c>
      <c r="I17" s="7">
        <v>14.1</v>
      </c>
      <c r="J17" s="7">
        <v>13.5</v>
      </c>
      <c r="K17" s="7">
        <v>17.7</v>
      </c>
      <c r="L17" s="7">
        <v>17.9</v>
      </c>
      <c r="M17" s="7">
        <v>17.7</v>
      </c>
      <c r="N17" s="1" t="s">
        <v>23</v>
      </c>
      <c r="O17" s="7">
        <v>14.7</v>
      </c>
      <c r="P17" s="7">
        <v>15.1</v>
      </c>
      <c r="Q17" s="7">
        <v>15.0</v>
      </c>
      <c r="R17" s="8" t="s">
        <v>23</v>
      </c>
    </row>
    <row r="18">
      <c r="A18" s="14" t="s">
        <v>28</v>
      </c>
      <c r="B18" s="14" t="s">
        <v>11</v>
      </c>
      <c r="C18" s="19">
        <f>AVERAGE(0.6, 0.63,0.56)</f>
        <v>0.5966666667</v>
      </c>
      <c r="D18" s="14">
        <f>AVERAGE(0.6 ,0.58 ,0.55)</f>
        <v>0.5766666667</v>
      </c>
      <c r="E18" s="14">
        <f>AVERAGE(0.46, 0.53, 0.6)</f>
        <v>0.53</v>
      </c>
      <c r="F18" s="14">
        <f>AVERAGE(0.53, 0.65, 0.52)</f>
        <v>0.5666666667</v>
      </c>
      <c r="G18" s="14">
        <f>AVERAGE(1.65, 1.6, 1.89)</f>
        <v>1.713333333</v>
      </c>
      <c r="H18" s="14">
        <f>AVERAGE(1.76, 1.52, 1.65)</f>
        <v>1.643333333</v>
      </c>
      <c r="I18" s="14">
        <f>AVERAGE(1.7, 1.55, 1.53)</f>
        <v>1.593333333</v>
      </c>
      <c r="J18" s="14">
        <f>AVERAGE(1.8, 1.6, 1.68)</f>
        <v>1.693333333</v>
      </c>
      <c r="K18" s="14">
        <f>AVERAGE(2.91, 2.89, 2.68)</f>
        <v>2.826666667</v>
      </c>
      <c r="L18" s="14">
        <f>AVERAGE(3.06 ,2.76)</f>
        <v>2.91</v>
      </c>
      <c r="M18" s="14">
        <f>AVERAGE(2.91, 2.73, 2.86)</f>
        <v>2.833333333</v>
      </c>
      <c r="N18" s="14" t="s">
        <v>23</v>
      </c>
      <c r="O18" s="14">
        <f>AVERAGE(3.81, 3.75, 3.7)</f>
        <v>3.753333333</v>
      </c>
      <c r="P18" s="14">
        <f>AVERAGE(3.76, 3.7, 3.69)</f>
        <v>3.716666667</v>
      </c>
      <c r="Q18" s="14">
        <f>AVERAGE(3.8, 3.9, 3.82)</f>
        <v>3.84</v>
      </c>
      <c r="R18" s="20" t="s">
        <v>23</v>
      </c>
      <c r="S18" s="18"/>
      <c r="T18" s="18"/>
      <c r="U18" s="18"/>
      <c r="V18" s="18"/>
      <c r="W18" s="18"/>
      <c r="X18" s="18"/>
      <c r="Y18" s="18"/>
      <c r="Z18" s="18"/>
    </row>
    <row r="19">
      <c r="A19" s="2"/>
      <c r="B19" s="1" t="s">
        <v>27</v>
      </c>
      <c r="C19" s="6">
        <v>13.9</v>
      </c>
      <c r="D19" s="7">
        <v>14.9</v>
      </c>
      <c r="E19" s="7">
        <v>12.8</v>
      </c>
      <c r="F19" s="7">
        <v>13.8</v>
      </c>
      <c r="G19" s="7">
        <v>32.5</v>
      </c>
      <c r="H19" s="7">
        <v>32.2</v>
      </c>
      <c r="I19" s="7">
        <v>32.7</v>
      </c>
      <c r="J19" s="7">
        <v>33.4</v>
      </c>
      <c r="K19" s="7">
        <v>42.2</v>
      </c>
      <c r="L19" s="7">
        <v>43.9</v>
      </c>
      <c r="M19" s="7">
        <v>43.2</v>
      </c>
      <c r="N19" s="1" t="s">
        <v>23</v>
      </c>
      <c r="O19" s="7">
        <v>36.05</v>
      </c>
      <c r="P19" s="7">
        <v>35.6</v>
      </c>
      <c r="Q19" s="7">
        <v>36.8</v>
      </c>
      <c r="R19" s="8" t="s">
        <v>23</v>
      </c>
    </row>
    <row r="20">
      <c r="A20" s="14" t="s">
        <v>43</v>
      </c>
      <c r="B20" s="14" t="s">
        <v>11</v>
      </c>
      <c r="C20" s="19">
        <f>AVERAGE(0.7, 0.46,0.48)</f>
        <v>0.5466666667</v>
      </c>
      <c r="D20" s="14">
        <f>AVERAGE(0.46, 0.66, 0.65)</f>
        <v>0.59</v>
      </c>
      <c r="E20" s="14">
        <f>AVERAGE(0.51 ,0.62)</f>
        <v>0.565</v>
      </c>
      <c r="F20" s="14">
        <f>AVERAGE(0.65, 0.58, 0.53)</f>
        <v>0.5866666667</v>
      </c>
      <c r="G20" s="14">
        <f>AVERAGE(2.41, 2.16, 2.23)</f>
        <v>2.266666667</v>
      </c>
      <c r="H20" s="14">
        <f>AVERAGE(2.5, 2.26, 2.52)</f>
        <v>2.426666667</v>
      </c>
      <c r="I20" s="14">
        <f>AVERAGE(2.28, 2.12)</f>
        <v>2.2</v>
      </c>
      <c r="J20" s="14">
        <f>AVERAGE(2.65, 2.13, 2.25)</f>
        <v>2.343333333</v>
      </c>
      <c r="K20" s="14">
        <f>AVERAGE(3.66 ,3.78)</f>
        <v>3.72</v>
      </c>
      <c r="L20" s="14">
        <f>AVERAGE(3.78, 3.89, 3.5)</f>
        <v>3.723333333</v>
      </c>
      <c r="M20" s="14">
        <f>AVERAGE(3.66, 3.78, 3.58)</f>
        <v>3.673333333</v>
      </c>
      <c r="N20" s="14" t="s">
        <v>23</v>
      </c>
      <c r="O20" s="14">
        <f>AVERAGE(4.95, 4.88, 4.71)</f>
        <v>4.846666667</v>
      </c>
      <c r="P20" s="14">
        <f>AVERAGE(5.05, 4.83, 4.81)</f>
        <v>4.896666667</v>
      </c>
      <c r="Q20" s="14">
        <f>AVERAGE(4.99, 4.78, 5.18)</f>
        <v>4.983333333</v>
      </c>
      <c r="R20" s="20" t="s">
        <v>23</v>
      </c>
      <c r="S20" s="18"/>
      <c r="T20" s="18"/>
      <c r="U20" s="18"/>
      <c r="V20" s="18"/>
      <c r="W20" s="18"/>
      <c r="X20" s="18"/>
      <c r="Y20" s="18"/>
      <c r="Z20" s="18"/>
    </row>
    <row r="21">
      <c r="A21" s="2"/>
      <c r="B21" s="1" t="s">
        <v>27</v>
      </c>
      <c r="C21" s="6">
        <v>13.1</v>
      </c>
      <c r="D21" s="7">
        <v>19.2</v>
      </c>
      <c r="E21" s="7">
        <v>15.7</v>
      </c>
      <c r="F21" s="7">
        <v>19.5</v>
      </c>
      <c r="G21" s="7">
        <v>56.1</v>
      </c>
      <c r="H21" s="7">
        <v>55.4</v>
      </c>
      <c r="I21" s="7">
        <v>56.0</v>
      </c>
      <c r="J21" s="7">
        <v>55.9</v>
      </c>
      <c r="K21" s="7">
        <v>69.6</v>
      </c>
      <c r="L21" s="7">
        <v>67.5</v>
      </c>
      <c r="M21" s="7">
        <v>67.7</v>
      </c>
      <c r="N21" s="1" t="s">
        <v>23</v>
      </c>
      <c r="O21" s="7">
        <v>53.9</v>
      </c>
      <c r="P21" s="7">
        <v>54.3</v>
      </c>
      <c r="Q21" s="7">
        <v>52.3</v>
      </c>
      <c r="R21" s="8" t="s">
        <v>23</v>
      </c>
    </row>
    <row r="22">
      <c r="A22" s="14" t="s">
        <v>58</v>
      </c>
      <c r="B22" s="14" t="s">
        <v>11</v>
      </c>
      <c r="C22" s="19">
        <f>AVERAGE(0.62, 0.76)</f>
        <v>0.69</v>
      </c>
      <c r="D22" s="14">
        <f>AVERAGE(0.83, 0.73, 0.83)</f>
        <v>0.7966666667</v>
      </c>
      <c r="E22" s="14">
        <f>AVERAGE(0.53, 0.81, 0.75)</f>
        <v>0.6966666667</v>
      </c>
      <c r="F22" s="14">
        <f>AVERAGE(0.72, 0.68, 0.58)</f>
        <v>0.66</v>
      </c>
      <c r="G22" s="14">
        <f>AVERAGE(2.6, 2.81, 2.72)</f>
        <v>2.71</v>
      </c>
      <c r="H22" s="14">
        <f>AVERAGE(2.78, 2.95, 2.52)</f>
        <v>2.75</v>
      </c>
      <c r="I22" s="14">
        <f>AVERAGE(2.68, 2.43, 2.3)</f>
        <v>2.47</v>
      </c>
      <c r="J22" s="14" t="s">
        <v>23</v>
      </c>
      <c r="K22" s="14">
        <f>AVERAGE(4.63, 4.7, 4.45)</f>
        <v>4.593333333</v>
      </c>
      <c r="L22" s="14">
        <f>AVERAGE(4.53, 4.59, 4.38)</f>
        <v>4.5</v>
      </c>
      <c r="M22" s="14">
        <f>AVERAGE(4.43, 4.45)</f>
        <v>4.44</v>
      </c>
      <c r="N22" s="14" t="s">
        <v>23</v>
      </c>
      <c r="O22" s="14">
        <f>AVERAGE(5.98, 5.93, 5.76)</f>
        <v>5.89</v>
      </c>
      <c r="P22" s="14">
        <f>AVERAGE(5.9 ,5.86)</f>
        <v>5.88</v>
      </c>
      <c r="Q22" s="14">
        <f>AVERAGE(5.76, 5.71, 5.85)</f>
        <v>5.773333333</v>
      </c>
      <c r="R22" s="20" t="s">
        <v>23</v>
      </c>
      <c r="S22" s="18"/>
      <c r="T22" s="18"/>
      <c r="U22" s="18"/>
      <c r="V22" s="18"/>
      <c r="W22" s="18"/>
      <c r="X22" s="18"/>
      <c r="Y22" s="18"/>
      <c r="Z22" s="18"/>
    </row>
    <row r="23">
      <c r="A23" s="2"/>
      <c r="B23" s="1" t="s">
        <v>27</v>
      </c>
      <c r="C23" s="6">
        <v>30.1</v>
      </c>
      <c r="D23" s="7">
        <v>30.2</v>
      </c>
      <c r="E23" s="7">
        <v>28.3</v>
      </c>
      <c r="F23" s="7">
        <v>26.3</v>
      </c>
      <c r="G23" s="7">
        <v>73.9</v>
      </c>
      <c r="H23" s="7">
        <v>73.9</v>
      </c>
      <c r="I23" s="7">
        <v>71.3</v>
      </c>
      <c r="J23" s="1" t="s">
        <v>23</v>
      </c>
      <c r="K23" s="7">
        <v>88.7</v>
      </c>
      <c r="L23" s="7">
        <v>92.2</v>
      </c>
      <c r="M23" s="7">
        <v>91.5</v>
      </c>
      <c r="N23" s="1" t="s">
        <v>23</v>
      </c>
      <c r="O23" s="7">
        <v>73.0</v>
      </c>
      <c r="P23" s="7">
        <v>73.2</v>
      </c>
      <c r="Q23" s="7">
        <v>77.0</v>
      </c>
      <c r="R23" s="8" t="s">
        <v>23</v>
      </c>
    </row>
    <row r="24">
      <c r="A24" s="14" t="s">
        <v>72</v>
      </c>
      <c r="B24" s="14" t="s">
        <v>11</v>
      </c>
      <c r="C24" s="19">
        <f>AVERAGE(0.63, 0.67, 0.93)</f>
        <v>0.7433333333</v>
      </c>
      <c r="D24" s="14">
        <f>AVERAGE(0.76, 0.79, 0.66)</f>
        <v>0.7366666667</v>
      </c>
      <c r="E24" s="14">
        <f>AVERAGE(0.8, 0.65, 0.72)</f>
        <v>0.7233333333</v>
      </c>
      <c r="F24" s="14">
        <f>AVERAGE(0.73, 0.75, 0.7)</f>
        <v>0.7266666667</v>
      </c>
      <c r="G24" s="14">
        <f>AVERAGE(2.7 ,2.69 ,2.42)</f>
        <v>2.603333333</v>
      </c>
      <c r="H24" s="14">
        <f>AVERAGE(3.28, 3.3, 3)</f>
        <v>3.193333333</v>
      </c>
      <c r="I24" s="14">
        <f>AVERAGE(3.38, 3.56, 3.05)</f>
        <v>3.33</v>
      </c>
      <c r="J24" s="14">
        <f>AVERAGE(2.86, 2.76, 2.65)</f>
        <v>2.756666667</v>
      </c>
      <c r="K24" s="14">
        <f>AVERAGE(5.13, 5.18, 4.91)</f>
        <v>5.073333333</v>
      </c>
      <c r="L24" s="14">
        <f>AVERAGE(5.2, 5.48, 5.08)</f>
        <v>5.253333333</v>
      </c>
      <c r="M24" s="14">
        <f>AVERAGE(5.32, 5.15, 4.98)</f>
        <v>5.15</v>
      </c>
      <c r="N24" s="14" t="s">
        <v>23</v>
      </c>
      <c r="O24" s="14">
        <f>AVERAGE(6.5, 6.18, 6.41)</f>
        <v>6.363333333</v>
      </c>
      <c r="P24" s="14">
        <f>AVERAGE(6.38, 6.15, 6.48)</f>
        <v>6.336666667</v>
      </c>
      <c r="Q24" s="14">
        <f>AVERAGE(6.33, 6.13, 6.58)</f>
        <v>6.346666667</v>
      </c>
      <c r="R24" s="20" t="s">
        <v>23</v>
      </c>
      <c r="S24" s="18"/>
      <c r="T24" s="18"/>
      <c r="U24" s="18"/>
      <c r="V24" s="18"/>
      <c r="W24" s="18"/>
      <c r="X24" s="18"/>
      <c r="Y24" s="18"/>
      <c r="Z24" s="18"/>
    </row>
    <row r="25">
      <c r="A25" s="2"/>
      <c r="B25" s="1" t="s">
        <v>27</v>
      </c>
      <c r="C25" s="10">
        <v>22.75</v>
      </c>
      <c r="D25" s="11">
        <v>33.8</v>
      </c>
      <c r="E25" s="11">
        <v>31.7</v>
      </c>
      <c r="F25" s="11">
        <v>30.4</v>
      </c>
      <c r="G25" s="11">
        <v>79.6</v>
      </c>
      <c r="H25" s="11">
        <v>92.2</v>
      </c>
      <c r="I25" s="11">
        <v>97.2</v>
      </c>
      <c r="J25" s="11">
        <v>83.2</v>
      </c>
      <c r="K25" s="11">
        <v>112.0</v>
      </c>
      <c r="L25" s="11">
        <v>120.0</v>
      </c>
      <c r="M25" s="11">
        <v>120.8</v>
      </c>
      <c r="N25" s="12" t="s">
        <v>23</v>
      </c>
      <c r="O25" s="11">
        <v>83.9</v>
      </c>
      <c r="P25" s="11">
        <v>89.0</v>
      </c>
      <c r="Q25" s="11">
        <v>85.9</v>
      </c>
      <c r="R25" s="13" t="s">
        <v>23</v>
      </c>
    </row>
    <row r="27">
      <c r="K27" s="21"/>
    </row>
    <row r="28">
      <c r="B28" s="22" t="s">
        <v>87</v>
      </c>
      <c r="C28" s="23">
        <v>0.0</v>
      </c>
      <c r="D28" s="24">
        <v>20.0</v>
      </c>
      <c r="E28" s="24">
        <v>40.0</v>
      </c>
      <c r="F28" s="24">
        <v>60.0</v>
      </c>
      <c r="G28" s="25" t="s">
        <v>0</v>
      </c>
      <c r="I28" s="22" t="s">
        <v>88</v>
      </c>
      <c r="J28" s="23">
        <v>0.0</v>
      </c>
      <c r="K28" s="24">
        <v>20.0</v>
      </c>
      <c r="L28" s="24">
        <v>40.0</v>
      </c>
      <c r="M28" s="24">
        <v>60.0</v>
      </c>
      <c r="N28" s="25" t="s">
        <v>0</v>
      </c>
    </row>
    <row r="29">
      <c r="B29" s="26">
        <v>13.4112</v>
      </c>
      <c r="C29" s="27">
        <f t="shared" ref="C29:C33" si="2">(-SQRT(($B29*SIN(RADIANS(C$28)))^2 +2*-9.81*-1.376)-$B29*SIN(RADIANS(C$28)))/(-9.81)</f>
        <v>0.5296508957</v>
      </c>
      <c r="D29" s="28">
        <f t="shared" ref="D29:F29" si="1">(-SQRT(($B29*SIN(RADIANS(D28)))^2 +2*-9.81*-1.376)-$B29*SIN(RADIANS(D28)))/(-9.81)</f>
        <v>1.174083322</v>
      </c>
      <c r="E29" s="28">
        <f t="shared" si="1"/>
        <v>1.904780081</v>
      </c>
      <c r="F29" s="29">
        <f t="shared" si="1"/>
        <v>2.480951247</v>
      </c>
      <c r="I29" s="26">
        <v>13.4112</v>
      </c>
      <c r="J29" s="30">
        <f>AVERAGE(C16:F16)</f>
        <v>0.4916666667</v>
      </c>
      <c r="K29" s="30">
        <f>AVERAGE(G16:J16)</f>
        <v>1.1175</v>
      </c>
      <c r="L29" s="30">
        <f>AVERAGE(K16:M16)</f>
        <v>1.823333333</v>
      </c>
      <c r="M29" s="31">
        <f>AVERAGE(O16:Q16)</f>
        <v>2.401111111</v>
      </c>
    </row>
    <row r="30">
      <c r="B30" s="32">
        <v>20.1168</v>
      </c>
      <c r="C30" s="33">
        <f t="shared" si="2"/>
        <v>0.5296508957</v>
      </c>
      <c r="D30" s="30">
        <f t="shared" ref="D30:F30" si="3">(-SQRT(($B30*SIN(RADIANS(D$28)))^2 +2*-9.81*-1.376)-$B30*SIN(RADIANS(D$28)))/(-9.81)</f>
        <v>1.580245027</v>
      </c>
      <c r="E30" s="30">
        <f t="shared" si="3"/>
        <v>2.738687117</v>
      </c>
      <c r="F30" s="31">
        <f t="shared" si="3"/>
        <v>3.629116311</v>
      </c>
      <c r="I30" s="32">
        <v>20.1168</v>
      </c>
      <c r="J30" s="30">
        <f>AVERAGE(C18:F18)</f>
        <v>0.5675</v>
      </c>
      <c r="K30" s="30">
        <f>AVERAGE(G18:J18)</f>
        <v>1.660833333</v>
      </c>
      <c r="L30" s="30">
        <f>AVERAGE(K18:M18)</f>
        <v>2.856666667</v>
      </c>
      <c r="M30" s="31">
        <f>AVERAGE(O18:Q18)</f>
        <v>3.77</v>
      </c>
    </row>
    <row r="31">
      <c r="B31" s="32">
        <v>26.8224</v>
      </c>
      <c r="C31" s="33">
        <f t="shared" si="2"/>
        <v>0.5296508957</v>
      </c>
      <c r="D31" s="30">
        <f t="shared" ref="D31:F31" si="4">(-SQRT(($B31*SIN(RADIANS(D$28)))^2 +2*-9.81*-1.376)-$B31*SIN(RADIANS(D$28)))/(-9.81)</f>
        <v>2.009871932</v>
      </c>
      <c r="E31" s="30">
        <f t="shared" si="4"/>
        <v>3.593081464</v>
      </c>
      <c r="F31" s="31">
        <f t="shared" si="4"/>
        <v>4.794268937</v>
      </c>
      <c r="I31" s="32">
        <v>26.8224</v>
      </c>
      <c r="J31" s="30">
        <f>AVERAGE(C20:F20)</f>
        <v>0.5720833333</v>
      </c>
      <c r="K31" s="30">
        <f>AVERAGE(G20:J20)</f>
        <v>2.309166667</v>
      </c>
      <c r="L31" s="30">
        <f>AVERAGE(K20:M20)</f>
        <v>3.705555556</v>
      </c>
      <c r="M31" s="31">
        <f>AVERAGE(O20:Q20)</f>
        <v>4.908888889</v>
      </c>
    </row>
    <row r="32">
      <c r="B32" s="32">
        <v>33.528</v>
      </c>
      <c r="C32" s="33">
        <f t="shared" si="2"/>
        <v>0.5296508957</v>
      </c>
      <c r="D32" s="30">
        <f t="shared" ref="D32:F32" si="5">(-SQRT(($B32*SIN(RADIANS(D$28)))^2 +2*-9.81*-1.376)-$B32*SIN(RADIANS(D$28)))/(-9.81)</f>
        <v>2.452266061</v>
      </c>
      <c r="E32" s="30">
        <f t="shared" si="5"/>
        <v>4.456703639</v>
      </c>
      <c r="F32" s="31">
        <f t="shared" si="5"/>
        <v>5.966710008</v>
      </c>
      <c r="I32" s="32">
        <v>33.528</v>
      </c>
      <c r="J32" s="30">
        <f>AVERAGE(C22:F22)</f>
        <v>0.7108333333</v>
      </c>
      <c r="K32" s="30">
        <f>AVERAGE(G22:I22)</f>
        <v>2.643333333</v>
      </c>
      <c r="L32" s="30">
        <f>AVERAGE(K22:M22)</f>
        <v>4.511111111</v>
      </c>
      <c r="M32" s="31">
        <f>AVERAGE(O22:Q22)</f>
        <v>5.847777778</v>
      </c>
    </row>
    <row r="33">
      <c r="B33" s="32">
        <v>40.2336</v>
      </c>
      <c r="C33" s="34">
        <f t="shared" si="2"/>
        <v>0.5296508957</v>
      </c>
      <c r="D33" s="35">
        <f t="shared" ref="D33:F33" si="6">(-SQRT(($B33*SIN(RADIANS(D$28)))^2 +2*-9.81*-1.376)-$B33*SIN(RADIANS(D$28)))/(-9.81)</f>
        <v>2.902108002</v>
      </c>
      <c r="E33" s="35">
        <f t="shared" si="6"/>
        <v>5.325189427</v>
      </c>
      <c r="F33" s="36">
        <f t="shared" si="6"/>
        <v>7.1429069</v>
      </c>
      <c r="I33" s="32">
        <v>40.2336</v>
      </c>
      <c r="J33" s="35">
        <f>AVERAGE(C24:F24)</f>
        <v>0.7325</v>
      </c>
      <c r="K33" s="35">
        <f>AVERAGE(G24:J24)</f>
        <v>2.970833333</v>
      </c>
      <c r="L33" s="35">
        <f>AVERAGE(K24:M24)</f>
        <v>5.158888889</v>
      </c>
      <c r="M33" s="36">
        <f>AVERAGE(O24:Q24)</f>
        <v>6.348888889</v>
      </c>
    </row>
    <row r="34">
      <c r="B34" s="37" t="s">
        <v>89</v>
      </c>
      <c r="G34" s="38" t="s">
        <v>90</v>
      </c>
      <c r="I34" s="37" t="s">
        <v>89</v>
      </c>
      <c r="N34" s="38" t="s">
        <v>90</v>
      </c>
    </row>
    <row r="37">
      <c r="B37" s="22" t="s">
        <v>87</v>
      </c>
      <c r="C37" s="39">
        <v>0.0</v>
      </c>
      <c r="D37" s="40">
        <v>20.0</v>
      </c>
      <c r="E37" s="40">
        <v>40.0</v>
      </c>
      <c r="F37" s="40">
        <v>60.0</v>
      </c>
      <c r="G37" s="25" t="s">
        <v>0</v>
      </c>
      <c r="I37" s="22" t="s">
        <v>88</v>
      </c>
      <c r="J37" s="23">
        <v>0.0</v>
      </c>
      <c r="K37" s="24">
        <v>20.0</v>
      </c>
      <c r="L37" s="24">
        <v>40.0</v>
      </c>
      <c r="M37" s="24">
        <v>60.0</v>
      </c>
      <c r="N37" s="25" t="s">
        <v>0</v>
      </c>
    </row>
    <row r="38">
      <c r="B38" s="41">
        <v>13.4112</v>
      </c>
      <c r="C38" s="42">
        <f t="shared" ref="C38:F38" si="7">$B38*COS(RADIANS(C$37))*C29</f>
        <v>7.103254093</v>
      </c>
      <c r="D38" s="43">
        <f t="shared" si="7"/>
        <v>14.79627433</v>
      </c>
      <c r="E38" s="43">
        <f t="shared" si="7"/>
        <v>19.56890147</v>
      </c>
      <c r="F38" s="44">
        <f t="shared" si="7"/>
        <v>16.63626668</v>
      </c>
      <c r="I38" s="26">
        <v>13.4112</v>
      </c>
      <c r="J38" s="42">
        <f>AVERAGE(C17:F17)</f>
        <v>6.05</v>
      </c>
      <c r="K38" s="43">
        <f>AVERAGE(G17:J17)</f>
        <v>13.95</v>
      </c>
      <c r="L38" s="43">
        <f>AVERAGE(K17:M17)</f>
        <v>17.76666667</v>
      </c>
      <c r="M38" s="44">
        <f>AVERAGE(O17:Q17)</f>
        <v>14.93333333</v>
      </c>
    </row>
    <row r="39">
      <c r="B39" s="45">
        <v>20.1168</v>
      </c>
      <c r="C39" s="46">
        <f t="shared" ref="C39:F39" si="8">$B39*COS(RADIANS(C$37))*C30</f>
        <v>10.65488114</v>
      </c>
      <c r="D39" s="47">
        <f t="shared" si="8"/>
        <v>29.87233335</v>
      </c>
      <c r="E39" s="47">
        <f t="shared" si="8"/>
        <v>42.20416222</v>
      </c>
      <c r="F39" s="48">
        <f t="shared" si="8"/>
        <v>36.5031035</v>
      </c>
      <c r="I39" s="32">
        <v>20.1168</v>
      </c>
      <c r="J39" s="46">
        <f>AVERAGE(C19:F19)</f>
        <v>13.85</v>
      </c>
      <c r="K39" s="47">
        <f>AVERAGE(G19:J19)</f>
        <v>32.7</v>
      </c>
      <c r="L39" s="47">
        <f>AVERAGE(K19:M19)</f>
        <v>43.1</v>
      </c>
      <c r="M39" s="48">
        <f>AVERAGE(O19:Q19)</f>
        <v>36.15</v>
      </c>
    </row>
    <row r="40">
      <c r="B40" s="45">
        <v>26.8224</v>
      </c>
      <c r="C40" s="46">
        <f t="shared" ref="C40:F40" si="9">$B40*COS(RADIANS(C$37))*C31</f>
        <v>14.20650819</v>
      </c>
      <c r="D40" s="47">
        <f t="shared" si="9"/>
        <v>50.65844289</v>
      </c>
      <c r="E40" s="47">
        <f t="shared" si="9"/>
        <v>73.82758549</v>
      </c>
      <c r="F40" s="48">
        <f t="shared" si="9"/>
        <v>64.29689957</v>
      </c>
      <c r="I40" s="32">
        <v>26.8224</v>
      </c>
      <c r="J40" s="46">
        <f>AVERAGE(C21:F21)</f>
        <v>16.875</v>
      </c>
      <c r="K40" s="47">
        <f>AVERAGE(G21:J21)</f>
        <v>55.85</v>
      </c>
      <c r="L40" s="47">
        <f>AVERAGE(K21:M21)</f>
        <v>68.26666667</v>
      </c>
      <c r="M40" s="48">
        <f>AVERAGE(O21:Q21)</f>
        <v>53.5</v>
      </c>
    </row>
    <row r="41">
      <c r="B41" s="45">
        <v>33.528</v>
      </c>
      <c r="C41" s="46">
        <f t="shared" ref="C41:F41" si="10">$B41*COS(RADIANS(C$37))*C32</f>
        <v>17.75813523</v>
      </c>
      <c r="D41" s="47">
        <f t="shared" si="10"/>
        <v>77.26112933</v>
      </c>
      <c r="E41" s="47">
        <f t="shared" si="10"/>
        <v>114.4657004</v>
      </c>
      <c r="F41" s="48">
        <f t="shared" si="10"/>
        <v>100.0259266</v>
      </c>
      <c r="I41" s="32">
        <v>33.528</v>
      </c>
      <c r="J41" s="46">
        <f>AVERAGE(C23:F23)</f>
        <v>28.725</v>
      </c>
      <c r="K41" s="47">
        <f>AVERAGE(G23:I23)</f>
        <v>73.03333333</v>
      </c>
      <c r="L41" s="47">
        <f>AVERAGE(K23:M23)</f>
        <v>90.8</v>
      </c>
      <c r="M41" s="48">
        <f>AVERAGE(O23:Q23)</f>
        <v>74.4</v>
      </c>
    </row>
    <row r="42">
      <c r="B42" s="45">
        <v>40.2336</v>
      </c>
      <c r="C42" s="49">
        <f t="shared" ref="C42:F42" si="11">$B42*COS(RADIANS(C$37))*C33</f>
        <v>21.30976228</v>
      </c>
      <c r="D42" s="50">
        <f t="shared" si="11"/>
        <v>109.7206271</v>
      </c>
      <c r="E42" s="50">
        <f t="shared" si="11"/>
        <v>164.1262027</v>
      </c>
      <c r="F42" s="51">
        <f t="shared" si="11"/>
        <v>143.6924295</v>
      </c>
      <c r="I42" s="32">
        <v>40.2336</v>
      </c>
      <c r="J42" s="49">
        <f>AVERAGE(C25:F25)</f>
        <v>29.6625</v>
      </c>
      <c r="K42" s="50">
        <f>AVERAGE(G25:J25)</f>
        <v>88.05</v>
      </c>
      <c r="L42" s="50">
        <f>AVERAGE(K25:M25)</f>
        <v>117.6</v>
      </c>
      <c r="M42" s="51">
        <f>AVERAGE(O25:Q25)</f>
        <v>86.26666667</v>
      </c>
    </row>
    <row r="43">
      <c r="B43" s="37" t="s">
        <v>89</v>
      </c>
      <c r="G43" s="52" t="s">
        <v>91</v>
      </c>
      <c r="I43" s="37" t="s">
        <v>89</v>
      </c>
      <c r="N43" s="52" t="s">
        <v>91</v>
      </c>
    </row>
    <row r="46">
      <c r="I46" s="22" t="s">
        <v>92</v>
      </c>
      <c r="J46" s="23">
        <v>0.0</v>
      </c>
      <c r="K46" s="24">
        <v>20.0</v>
      </c>
      <c r="L46" s="24">
        <v>40.0</v>
      </c>
      <c r="M46" s="24">
        <v>60.0</v>
      </c>
      <c r="N46" s="25" t="s">
        <v>0</v>
      </c>
    </row>
    <row r="47">
      <c r="I47" s="26">
        <v>13.4112</v>
      </c>
      <c r="J47" s="53">
        <f t="shared" ref="J47:M47" si="12">ABS((C29-J29)/J29)</f>
        <v>0.07725605913</v>
      </c>
      <c r="K47" s="54">
        <f t="shared" si="12"/>
        <v>0.0506338455</v>
      </c>
      <c r="L47" s="54">
        <f t="shared" si="12"/>
        <v>0.04466914866</v>
      </c>
      <c r="M47" s="55">
        <f t="shared" si="12"/>
        <v>0.03325132931</v>
      </c>
    </row>
    <row r="48">
      <c r="I48" s="32">
        <v>20.1168</v>
      </c>
      <c r="J48" s="56">
        <f t="shared" ref="J48:M48" si="13">ABS((C30-J30)/J30)</f>
        <v>0.06669445685</v>
      </c>
      <c r="K48" s="57">
        <f t="shared" si="13"/>
        <v>0.0485228135</v>
      </c>
      <c r="L48" s="57">
        <f t="shared" si="13"/>
        <v>0.04129972564</v>
      </c>
      <c r="M48" s="58">
        <f t="shared" si="13"/>
        <v>0.03736967877</v>
      </c>
    </row>
    <row r="49">
      <c r="I49" s="32">
        <v>26.8224</v>
      </c>
      <c r="J49" s="56">
        <f t="shared" ref="J49:M49" si="14">ABS((C31-J31)/J31)</f>
        <v>0.0741717773</v>
      </c>
      <c r="K49" s="57">
        <f t="shared" si="14"/>
        <v>0.1296115775</v>
      </c>
      <c r="L49" s="57">
        <f t="shared" si="14"/>
        <v>0.03035282839</v>
      </c>
      <c r="M49" s="58">
        <f t="shared" si="14"/>
        <v>0.02334946951</v>
      </c>
    </row>
    <row r="50">
      <c r="I50" s="32">
        <v>33.528</v>
      </c>
      <c r="J50" s="56">
        <f t="shared" ref="J50:M50" si="15">ABS((C32-J32)/J32)</f>
        <v>0.2548873682</v>
      </c>
      <c r="K50" s="57">
        <f t="shared" si="15"/>
        <v>0.07228270058</v>
      </c>
      <c r="L50" s="57">
        <f t="shared" si="15"/>
        <v>0.0120607696</v>
      </c>
      <c r="M50" s="58">
        <f t="shared" si="15"/>
        <v>0.02033802147</v>
      </c>
    </row>
    <row r="51">
      <c r="I51" s="32">
        <v>40.2336</v>
      </c>
      <c r="J51" s="59">
        <f t="shared" ref="J51:M51" si="16">ABS((C33-J33)/J33)</f>
        <v>0.2769271048</v>
      </c>
      <c r="K51" s="60">
        <f t="shared" si="16"/>
        <v>0.02313335152</v>
      </c>
      <c r="L51" s="60">
        <f t="shared" si="16"/>
        <v>0.03223572773</v>
      </c>
      <c r="M51" s="61">
        <f t="shared" si="16"/>
        <v>0.1250640899</v>
      </c>
    </row>
    <row r="52">
      <c r="I52" s="37" t="s">
        <v>89</v>
      </c>
      <c r="N52" s="62" t="s">
        <v>93</v>
      </c>
    </row>
    <row r="54">
      <c r="I54" s="22" t="s">
        <v>92</v>
      </c>
      <c r="J54" s="39">
        <v>0.0</v>
      </c>
      <c r="K54" s="40">
        <v>20.0</v>
      </c>
      <c r="L54" s="40">
        <v>40.0</v>
      </c>
      <c r="M54" s="40">
        <v>60.0</v>
      </c>
      <c r="N54" s="25" t="s">
        <v>0</v>
      </c>
    </row>
    <row r="55">
      <c r="I55" s="26">
        <v>13.4112</v>
      </c>
      <c r="J55" s="63">
        <f t="shared" ref="J55:M55" si="17">abs((C38-J38)/J38)</f>
        <v>0.1740915856</v>
      </c>
      <c r="K55" s="64">
        <f t="shared" si="17"/>
        <v>0.0606648262</v>
      </c>
      <c r="L55" s="64">
        <f t="shared" si="17"/>
        <v>0.1014391071</v>
      </c>
      <c r="M55" s="65">
        <f t="shared" si="17"/>
        <v>0.1140357155</v>
      </c>
    </row>
    <row r="56">
      <c r="I56" s="32">
        <v>20.1168</v>
      </c>
      <c r="J56" s="66">
        <f t="shared" ref="J56:M56" si="18">abs((C39-J39)/J39)</f>
        <v>0.2306945026</v>
      </c>
      <c r="K56" s="67">
        <f t="shared" si="18"/>
        <v>0.08647298621</v>
      </c>
      <c r="L56" s="67">
        <f t="shared" si="18"/>
        <v>0.02078509939</v>
      </c>
      <c r="M56" s="68">
        <f t="shared" si="18"/>
        <v>0.009767731751</v>
      </c>
    </row>
    <row r="57">
      <c r="I57" s="32">
        <v>26.8224</v>
      </c>
      <c r="J57" s="66">
        <f t="shared" ref="J57:M57" si="19">abs((C40-J40)/J40)</f>
        <v>0.1581328482</v>
      </c>
      <c r="K57" s="67">
        <f t="shared" si="19"/>
        <v>0.09295536449</v>
      </c>
      <c r="L57" s="67">
        <f t="shared" si="19"/>
        <v>0.08145877181</v>
      </c>
      <c r="M57" s="68">
        <f t="shared" si="19"/>
        <v>0.201811207</v>
      </c>
    </row>
    <row r="58">
      <c r="I58" s="32">
        <v>33.528</v>
      </c>
      <c r="J58" s="66">
        <f t="shared" ref="J58:M58" si="20">abs((C41-J41)/J41)</f>
        <v>0.3817881555</v>
      </c>
      <c r="K58" s="67">
        <f t="shared" si="20"/>
        <v>0.05788858051</v>
      </c>
      <c r="L58" s="67">
        <f t="shared" si="20"/>
        <v>0.2606354665</v>
      </c>
      <c r="M58" s="68">
        <f t="shared" si="20"/>
        <v>0.3444344969</v>
      </c>
    </row>
    <row r="59">
      <c r="I59" s="32">
        <v>40.2336</v>
      </c>
      <c r="J59" s="69">
        <f t="shared" ref="J59:M59" si="21">abs((C42-J42)/J42)</f>
        <v>0.2815925064</v>
      </c>
      <c r="K59" s="70">
        <f t="shared" si="21"/>
        <v>0.2461172862</v>
      </c>
      <c r="L59" s="70">
        <f t="shared" si="21"/>
        <v>0.3956309749</v>
      </c>
      <c r="M59" s="71">
        <f t="shared" si="21"/>
        <v>0.6656773129</v>
      </c>
    </row>
    <row r="60">
      <c r="I60" s="37" t="s">
        <v>89</v>
      </c>
      <c r="J60" s="72"/>
      <c r="K60" s="72"/>
      <c r="L60" s="72"/>
      <c r="M60" s="72"/>
      <c r="N60" s="62" t="s">
        <v>94</v>
      </c>
    </row>
  </sheetData>
  <drawing r:id="rId1"/>
</worksheet>
</file>