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7740" firstSheet="2" activeTab="8"/>
  </bookViews>
  <sheets>
    <sheet name="Chart1" sheetId="1" r:id="rId1"/>
    <sheet name="Chart2" sheetId="2" r:id="rId2"/>
    <sheet name="Chart4" sheetId="3" r:id="rId3"/>
    <sheet name="Chart6" sheetId="4" r:id="rId4"/>
    <sheet name="Chart7" sheetId="5" r:id="rId5"/>
    <sheet name="Chart8" sheetId="6" r:id="rId6"/>
    <sheet name="Chart9" sheetId="7" r:id="rId7"/>
    <sheet name="Chart10" sheetId="8" r:id="rId8"/>
    <sheet name="Sheet1" sheetId="9" r:id="rId9"/>
    <sheet name="Sheet2" sheetId="10" r:id="rId10"/>
    <sheet name="Sheet3" sheetId="11" r:id="rId11"/>
  </sheets>
  <definedNames/>
  <calcPr fullCalcOnLoad="1"/>
</workbook>
</file>

<file path=xl/sharedStrings.xml><?xml version="1.0" encoding="utf-8"?>
<sst xmlns="http://schemas.openxmlformats.org/spreadsheetml/2006/main" count="48" uniqueCount="21">
  <si>
    <t>Trial</t>
  </si>
  <si>
    <t>Gun</t>
  </si>
  <si>
    <t>Assault</t>
  </si>
  <si>
    <t>Pistol</t>
  </si>
  <si>
    <t>Sniper</t>
  </si>
  <si>
    <t>Momentum of Bullet</t>
  </si>
  <si>
    <t>Momentum of Bullet + Pend.</t>
  </si>
  <si>
    <t>Bullet Mass (+-0.0 kg)</t>
  </si>
  <si>
    <t>Bullet Mass (+-0.0 g)</t>
  </si>
  <si>
    <t>Pendulum Mass (+-.5 g)</t>
  </si>
  <si>
    <t>Time (+-.033 s)</t>
  </si>
  <si>
    <t>Distance Change (+-.3 cm)</t>
  </si>
  <si>
    <t>Distance Change (+-.003 m)</t>
  </si>
  <si>
    <t>Height Change (+-.3 cm)</t>
  </si>
  <si>
    <t>Height Change (+-.003 m)</t>
  </si>
  <si>
    <t>Potential Energy (+-.93 J)</t>
  </si>
  <si>
    <t>Velocity V (+-.036 m/s)</t>
  </si>
  <si>
    <t>Kinetic Energy of Bullet + Pend.(+- 1.27 J)</t>
  </si>
  <si>
    <t>Velocity u (+-6.3 m/s)</t>
  </si>
  <si>
    <t>Kinetic Energy of Bullet (+-1.34 J)</t>
  </si>
  <si>
    <t>Data Table: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</si>
</sst>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0000000"/>
    <numFmt numFmtId="171" formatCode="0.00000000000"/>
    <numFmt numFmtId="172" formatCode="0.000000000"/>
    <numFmt numFmtId="173" formatCode="0.000"/>
  </numFmts>
  <fonts count="24"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8"/>
      <name val="Calibri"/>
      <family val="2"/>
    </font>
    <font>
      <u val="single"/>
      <sz val="5.5"/>
      <color indexed="12"/>
      <name val="Calibri"/>
      <family val="2"/>
    </font>
    <font>
      <u val="single"/>
      <sz val="5.5"/>
      <color indexed="36"/>
      <name val="Calibri"/>
      <family val="2"/>
    </font>
    <font>
      <i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9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9" fontId="0" fillId="0" borderId="11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9" fontId="0" fillId="0" borderId="12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worksheet" Target="worksheets/sheet3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Velocity of BBs fired from Assault Rifle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>
          <a:noFill/>
        </a:ln>
      </c:spPr>
    </c:title>
    <c:view3D>
      <c:rotX val="15"/>
      <c:hPercent val="74"/>
      <c:rotY val="20"/>
      <c:depthPercent val="100"/>
      <c:rAngAx val="1"/>
    </c:view3D>
    <c:plotArea>
      <c:layout>
        <c:manualLayout>
          <c:xMode val="edge"/>
          <c:yMode val="edge"/>
          <c:x val="0.0375"/>
          <c:y val="0.0875"/>
          <c:w val="0.83025"/>
          <c:h val="0.84475"/>
        </c:manualLayout>
      </c:layout>
      <c:bar3DChart>
        <c:barDir val="col"/>
        <c:grouping val="clustered"/>
        <c:varyColors val="0"/>
        <c:ser>
          <c:idx val="0"/>
          <c:order val="0"/>
          <c:tx>
            <c:v>.2 Gram BBs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Sheet1!$N$3:$N$7</c:f>
              <c:numCache>
                <c:ptCount val="5"/>
                <c:pt idx="0">
                  <c:v>108.3516220275567</c:v>
                </c:pt>
                <c:pt idx="1">
                  <c:v>108.74387299136322</c:v>
                </c:pt>
                <c:pt idx="2">
                  <c:v>112.40702813435502</c:v>
                </c:pt>
                <c:pt idx="3">
                  <c:v>111.27256686757573</c:v>
                </c:pt>
                <c:pt idx="4">
                  <c:v>111.81039949207617</c:v>
                </c:pt>
              </c:numCache>
            </c:numRef>
          </c:val>
          <c:shape val="box"/>
        </c:ser>
        <c:ser>
          <c:idx val="1"/>
          <c:order val="1"/>
          <c:tx>
            <c:v>.3 Gram BBs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Sheet1!$N$8:$N$12</c:f>
              <c:numCache>
                <c:ptCount val="5"/>
                <c:pt idx="0">
                  <c:v>85.20729860823022</c:v>
                </c:pt>
                <c:pt idx="1">
                  <c:v>85.63254512268827</c:v>
                </c:pt>
                <c:pt idx="2">
                  <c:v>84.35071975616019</c:v>
                </c:pt>
                <c:pt idx="3">
                  <c:v>84.01075189280829</c:v>
                </c:pt>
                <c:pt idx="4">
                  <c:v>84.69624338954196</c:v>
                </c:pt>
              </c:numCache>
            </c:numRef>
          </c:val>
          <c:shape val="box"/>
        </c:ser>
        <c:shape val="box"/>
        <c:axId val="50380085"/>
        <c:axId val="50767582"/>
      </c:bar3DChart>
      <c:catAx>
        <c:axId val="50380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Trial</a:t>
                </a:r>
              </a:p>
            </c:rich>
          </c:tx>
          <c:layout>
            <c:manualLayout>
              <c:xMode val="factor"/>
              <c:yMode val="factor"/>
              <c:x val="-0.011"/>
              <c:y val="0.05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67582"/>
        <c:crosses val="autoZero"/>
        <c:auto val="1"/>
        <c:lblOffset val="100"/>
        <c:tickLblSkip val="1"/>
        <c:noMultiLvlLbl val="0"/>
      </c:catAx>
      <c:valAx>
        <c:axId val="507675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Velocity of BB (m/s)</a:t>
                </a:r>
              </a:p>
            </c:rich>
          </c:tx>
          <c:layout>
            <c:manualLayout>
              <c:xMode val="factor"/>
              <c:yMode val="factor"/>
              <c:x val="-0.033"/>
              <c:y val="0.03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800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35"/>
          <c:y val="0.49275"/>
          <c:w val="0.09775"/>
          <c:h val="0.076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Velocity of BBs fired from Pistol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>
          <a:noFill/>
        </a:ln>
      </c:spPr>
    </c:title>
    <c:view3D>
      <c:rotX val="15"/>
      <c:hPercent val="74"/>
      <c:rotY val="20"/>
      <c:depthPercent val="100"/>
      <c:rAngAx val="1"/>
    </c:view3D>
    <c:plotArea>
      <c:layout>
        <c:manualLayout>
          <c:xMode val="edge"/>
          <c:yMode val="edge"/>
          <c:x val="0.0375"/>
          <c:y val="0.0875"/>
          <c:w val="0.83025"/>
          <c:h val="0.84475"/>
        </c:manualLayout>
      </c:layout>
      <c:bar3DChart>
        <c:barDir val="col"/>
        <c:grouping val="clustered"/>
        <c:varyColors val="0"/>
        <c:ser>
          <c:idx val="0"/>
          <c:order val="0"/>
          <c:tx>
            <c:v>.2 Gram BBs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Sheet1!$N$13:$N$17</c:f>
              <c:numCache>
                <c:ptCount val="5"/>
                <c:pt idx="0">
                  <c:v>102.38079464339845</c:v>
                </c:pt>
                <c:pt idx="1">
                  <c:v>94.77929965580977</c:v>
                </c:pt>
                <c:pt idx="2">
                  <c:v>101.89245651491363</c:v>
                </c:pt>
                <c:pt idx="3">
                  <c:v>93.91950912673819</c:v>
                </c:pt>
                <c:pt idx="4">
                  <c:v>90.21581515687114</c:v>
                </c:pt>
              </c:numCache>
            </c:numRef>
          </c:val>
          <c:shape val="box"/>
        </c:ser>
        <c:ser>
          <c:idx val="1"/>
          <c:order val="1"/>
          <c:tx>
            <c:v>.3 Gram BBs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Sheet1!$N$18:$N$22</c:f>
              <c:numCache>
                <c:ptCount val="5"/>
                <c:pt idx="0">
                  <c:v>77.30841864632046</c:v>
                </c:pt>
                <c:pt idx="1">
                  <c:v>79.00109892655014</c:v>
                </c:pt>
                <c:pt idx="2">
                  <c:v>81.04243396153154</c:v>
                </c:pt>
                <c:pt idx="3">
                  <c:v>76.52238828901632</c:v>
                </c:pt>
                <c:pt idx="4">
                  <c:v>77.68517693457387</c:v>
                </c:pt>
              </c:numCache>
            </c:numRef>
          </c:val>
          <c:shape val="box"/>
        </c:ser>
        <c:shape val="box"/>
        <c:axId val="54255055"/>
        <c:axId val="18533448"/>
      </c:bar3DChart>
      <c:catAx>
        <c:axId val="54255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Trial</a:t>
                </a:r>
              </a:p>
            </c:rich>
          </c:tx>
          <c:layout>
            <c:manualLayout>
              <c:xMode val="factor"/>
              <c:yMode val="factor"/>
              <c:x val="-0.011"/>
              <c:y val="0.05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33448"/>
        <c:crosses val="autoZero"/>
        <c:auto val="1"/>
        <c:lblOffset val="100"/>
        <c:tickLblSkip val="1"/>
        <c:noMultiLvlLbl val="0"/>
      </c:catAx>
      <c:valAx>
        <c:axId val="18533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Velocity of BB (m/s)</a:t>
                </a:r>
              </a:p>
            </c:rich>
          </c:tx>
          <c:layout>
            <c:manualLayout>
              <c:xMode val="factor"/>
              <c:yMode val="factor"/>
              <c:x val="-0.033"/>
              <c:y val="0.03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550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35"/>
          <c:y val="0.49275"/>
          <c:w val="0.09775"/>
          <c:h val="0.076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Velocity of BBs fired from Sniper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view3D>
      <c:rotX val="15"/>
      <c:hPercent val="74"/>
      <c:rotY val="20"/>
      <c:depthPercent val="100"/>
      <c:rAngAx val="1"/>
    </c:view3D>
    <c:plotArea>
      <c:layout>
        <c:manualLayout>
          <c:xMode val="edge"/>
          <c:yMode val="edge"/>
          <c:x val="0.0375"/>
          <c:y val="0.0875"/>
          <c:w val="0.83025"/>
          <c:h val="0.84475"/>
        </c:manualLayout>
      </c:layout>
      <c:bar3DChart>
        <c:barDir val="col"/>
        <c:grouping val="clustered"/>
        <c:varyColors val="0"/>
        <c:ser>
          <c:idx val="0"/>
          <c:order val="0"/>
          <c:tx>
            <c:v>.2 Gram BBs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Sheet1!$N$23:$N$27</c:f>
              <c:numCache>
                <c:ptCount val="5"/>
                <c:pt idx="0">
                  <c:v>142.45778831363222</c:v>
                </c:pt>
                <c:pt idx="1">
                  <c:v>143.67245937003852</c:v>
                </c:pt>
                <c:pt idx="2">
                  <c:v>144.55932640498992</c:v>
                </c:pt>
                <c:pt idx="3">
                  <c:v>136.77575573043615</c:v>
                </c:pt>
                <c:pt idx="4">
                  <c:v>139.66892863931886</c:v>
                </c:pt>
              </c:numCache>
            </c:numRef>
          </c:val>
          <c:shape val="box"/>
        </c:ser>
        <c:ser>
          <c:idx val="1"/>
          <c:order val="1"/>
          <c:tx>
            <c:v>.3 Gram BBs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Sheet1!$N$28:$N$32</c:f>
              <c:numCache>
                <c:ptCount val="5"/>
                <c:pt idx="0">
                  <c:v>109.53244932278884</c:v>
                </c:pt>
                <c:pt idx="1">
                  <c:v>133.92404131090527</c:v>
                </c:pt>
                <c:pt idx="2">
                  <c:v>105.47305161231648</c:v>
                </c:pt>
                <c:pt idx="3">
                  <c:v>108.84000365019277</c:v>
                </c:pt>
                <c:pt idx="4">
                  <c:v>100.32259061324855</c:v>
                </c:pt>
              </c:numCache>
            </c:numRef>
          </c:val>
          <c:shape val="box"/>
        </c:ser>
        <c:shape val="box"/>
        <c:axId val="32583305"/>
        <c:axId val="24814290"/>
      </c:bar3DChart>
      <c:catAx>
        <c:axId val="32583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Trial</a:t>
                </a:r>
              </a:p>
            </c:rich>
          </c:tx>
          <c:layout>
            <c:manualLayout>
              <c:xMode val="factor"/>
              <c:yMode val="factor"/>
              <c:x val="-0.011"/>
              <c:y val="0.05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14290"/>
        <c:crosses val="autoZero"/>
        <c:auto val="1"/>
        <c:lblOffset val="100"/>
        <c:tickLblSkip val="1"/>
        <c:noMultiLvlLbl val="0"/>
      </c:catAx>
      <c:valAx>
        <c:axId val="24814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Velocity of BB (m/s)</a:t>
                </a:r>
              </a:p>
            </c:rich>
          </c:tx>
          <c:layout>
            <c:manualLayout>
              <c:xMode val="factor"/>
              <c:yMode val="factor"/>
              <c:x val="-0.033"/>
              <c:y val="0.03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833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35"/>
          <c:y val="0.49275"/>
          <c:w val="0.09775"/>
          <c:h val="0.076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Kinetic Energy of BB fired from Assault Rifle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>
          <a:noFill/>
        </a:ln>
      </c:spPr>
    </c:title>
    <c:view3D>
      <c:rotX val="15"/>
      <c:hPercent val="73"/>
      <c:rotY val="20"/>
      <c:depthPercent val="100"/>
      <c:rAngAx val="1"/>
    </c:view3D>
    <c:plotArea>
      <c:layout>
        <c:manualLayout>
          <c:xMode val="edge"/>
          <c:yMode val="edge"/>
          <c:x val="0.0375"/>
          <c:y val="0.0875"/>
          <c:w val="0.83025"/>
          <c:h val="0.84475"/>
        </c:manualLayout>
      </c:layout>
      <c:bar3DChart>
        <c:barDir val="col"/>
        <c:grouping val="clustered"/>
        <c:varyColors val="0"/>
        <c:ser>
          <c:idx val="0"/>
          <c:order val="0"/>
          <c:tx>
            <c:v>.2 Gram BBs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Sheet1!$Q$3:$Q$7</c:f>
              <c:numCache>
                <c:ptCount val="5"/>
                <c:pt idx="0">
                  <c:v>1.1740073996002511</c:v>
                </c:pt>
                <c:pt idx="1">
                  <c:v>1.1825229913161734</c:v>
                </c:pt>
                <c:pt idx="2">
                  <c:v>1.263533997399768</c:v>
                </c:pt>
                <c:pt idx="3">
                  <c:v>1.2381584137299113</c:v>
                </c:pt>
                <c:pt idx="4">
                  <c:v>1.2501565434577668</c:v>
                </c:pt>
              </c:numCache>
            </c:numRef>
          </c:val>
          <c:shape val="box"/>
        </c:ser>
        <c:ser>
          <c:idx val="1"/>
          <c:order val="1"/>
          <c:tx>
            <c:v>.3 Gram BBs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Sheet1!$Q$8:$Q$12</c:f>
              <c:numCache>
                <c:ptCount val="5"/>
                <c:pt idx="0">
                  <c:v>1.0890425604168166</c:v>
                </c:pt>
                <c:pt idx="1">
                  <c:v>1.0999399176283864</c:v>
                </c:pt>
                <c:pt idx="2">
                  <c:v>1.0672565885073408</c:v>
                </c:pt>
                <c:pt idx="3">
                  <c:v>1.0586709650392485</c:v>
                </c:pt>
                <c:pt idx="4">
                  <c:v>1.0760180466450795</c:v>
                </c:pt>
              </c:numCache>
            </c:numRef>
          </c:val>
          <c:shape val="box"/>
        </c:ser>
        <c:shape val="box"/>
        <c:axId val="22002019"/>
        <c:axId val="63800444"/>
      </c:bar3DChart>
      <c:catAx>
        <c:axId val="22002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Trial</a:t>
                </a:r>
              </a:p>
            </c:rich>
          </c:tx>
          <c:layout>
            <c:manualLayout>
              <c:xMode val="factor"/>
              <c:yMode val="factor"/>
              <c:x val="-0.011"/>
              <c:y val="0.05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00444"/>
        <c:crosses val="autoZero"/>
        <c:auto val="1"/>
        <c:lblOffset val="100"/>
        <c:tickLblSkip val="1"/>
        <c:noMultiLvlLbl val="0"/>
      </c:catAx>
      <c:valAx>
        <c:axId val="6380044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Energy (j)</a:t>
                </a:r>
              </a:p>
            </c:rich>
          </c:tx>
          <c:layout>
            <c:manualLayout>
              <c:xMode val="factor"/>
              <c:yMode val="factor"/>
              <c:x val="-0.02975"/>
              <c:y val="0.03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020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35"/>
          <c:y val="0.49275"/>
          <c:w val="0.09775"/>
          <c:h val="0.076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Kinetic Energy of BB fired from Pistol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>
          <a:noFill/>
        </a:ln>
      </c:spPr>
    </c:title>
    <c:view3D>
      <c:rotX val="15"/>
      <c:hPercent val="73"/>
      <c:rotY val="20"/>
      <c:depthPercent val="100"/>
      <c:rAngAx val="1"/>
    </c:view3D>
    <c:plotArea>
      <c:layout>
        <c:manualLayout>
          <c:xMode val="edge"/>
          <c:yMode val="edge"/>
          <c:x val="0.0375"/>
          <c:y val="0.0875"/>
          <c:w val="0.83025"/>
          <c:h val="0.84475"/>
        </c:manualLayout>
      </c:layout>
      <c:bar3DChart>
        <c:barDir val="col"/>
        <c:grouping val="clustered"/>
        <c:varyColors val="0"/>
        <c:ser>
          <c:idx val="0"/>
          <c:order val="0"/>
          <c:tx>
            <c:v>.2 Gram BBs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Sheet1!$Q$13:$Q$17</c:f>
              <c:numCache>
                <c:ptCount val="5"/>
                <c:pt idx="0">
                  <c:v>1.0481827111813724</c:v>
                </c:pt>
                <c:pt idx="1">
                  <c:v>0.8983115643245781</c:v>
                </c:pt>
                <c:pt idx="2">
                  <c:v>1.0382072694643567</c:v>
                </c:pt>
                <c:pt idx="3">
                  <c:v>0.8820874194607459</c:v>
                </c:pt>
                <c:pt idx="4">
                  <c:v>0.8138893304418742</c:v>
                </c:pt>
              </c:numCache>
            </c:numRef>
          </c:val>
          <c:shape val="box"/>
        </c:ser>
        <c:ser>
          <c:idx val="1"/>
          <c:order val="1"/>
          <c:tx>
            <c:v>.3 Gram BBs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Sheet1!$Q$18:$Q$22</c:f>
              <c:numCache>
                <c:ptCount val="5"/>
                <c:pt idx="0">
                  <c:v>0.8964887390392123</c:v>
                </c:pt>
                <c:pt idx="1">
                  <c:v>0.9361760447403842</c:v>
                </c:pt>
                <c:pt idx="2">
                  <c:v>0.98518141536138</c:v>
                </c:pt>
                <c:pt idx="3">
                  <c:v>0.8783513864182472</c:v>
                </c:pt>
                <c:pt idx="4">
                  <c:v>0.9052480073034073</c:v>
                </c:pt>
              </c:numCache>
            </c:numRef>
          </c:val>
          <c:shape val="box"/>
        </c:ser>
        <c:shape val="box"/>
        <c:axId val="37333085"/>
        <c:axId val="453446"/>
      </c:bar3DChart>
      <c:catAx>
        <c:axId val="37333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Trial</a:t>
                </a:r>
              </a:p>
            </c:rich>
          </c:tx>
          <c:layout>
            <c:manualLayout>
              <c:xMode val="factor"/>
              <c:yMode val="factor"/>
              <c:x val="-0.011"/>
              <c:y val="0.05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446"/>
        <c:crosses val="autoZero"/>
        <c:auto val="1"/>
        <c:lblOffset val="100"/>
        <c:tickLblSkip val="1"/>
        <c:noMultiLvlLbl val="0"/>
      </c:catAx>
      <c:valAx>
        <c:axId val="453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Energy (j)</a:t>
                </a:r>
              </a:p>
            </c:rich>
          </c:tx>
          <c:layout>
            <c:manualLayout>
              <c:xMode val="factor"/>
              <c:yMode val="factor"/>
              <c:x val="-0.02975"/>
              <c:y val="0.03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330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35"/>
          <c:y val="0.49275"/>
          <c:w val="0.09775"/>
          <c:h val="0.076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Kinetic Energy of BB fired from Sniper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view3D>
      <c:rotX val="15"/>
      <c:hPercent val="73"/>
      <c:rotY val="20"/>
      <c:depthPercent val="100"/>
      <c:rAngAx val="1"/>
    </c:view3D>
    <c:plotArea>
      <c:layout>
        <c:manualLayout>
          <c:xMode val="edge"/>
          <c:yMode val="edge"/>
          <c:x val="0.0375"/>
          <c:y val="0.0875"/>
          <c:w val="0.83025"/>
          <c:h val="0.84475"/>
        </c:manualLayout>
      </c:layout>
      <c:bar3DChart>
        <c:barDir val="col"/>
        <c:grouping val="clustered"/>
        <c:varyColors val="0"/>
        <c:ser>
          <c:idx val="0"/>
          <c:order val="0"/>
          <c:tx>
            <c:v>.2 Gram BBs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Sheet1!$Q$23:$Q$27</c:f>
              <c:numCache>
                <c:ptCount val="5"/>
                <c:pt idx="0">
                  <c:v>2.0294221451211647</c:v>
                </c:pt>
                <c:pt idx="1">
                  <c:v>2.064177558143537</c:v>
                </c:pt>
                <c:pt idx="2">
                  <c:v>2.0897398850664417</c:v>
                </c:pt>
                <c:pt idx="3">
                  <c:v>1.8707607355631937</c:v>
                </c:pt>
                <c:pt idx="4">
                  <c:v>1.9507409627255148</c:v>
                </c:pt>
              </c:numCache>
            </c:numRef>
          </c:val>
          <c:shape val="box"/>
        </c:ser>
        <c:ser>
          <c:idx val="1"/>
          <c:order val="1"/>
          <c:tx>
            <c:v>.3 Gram BBs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Sheet1!$Q$28:$Q$32</c:f>
              <c:numCache>
                <c:ptCount val="5"/>
                <c:pt idx="0">
                  <c:v>1.7996036181973953</c:v>
                </c:pt>
                <c:pt idx="1">
                  <c:v>2.690347326156759</c:v>
                </c:pt>
                <c:pt idx="2">
                  <c:v>1.6686846924621563</c:v>
                </c:pt>
                <c:pt idx="3">
                  <c:v>1.7769219591860963</c:v>
                </c:pt>
                <c:pt idx="4">
                  <c:v>1.5096933281030198</c:v>
                </c:pt>
              </c:numCache>
            </c:numRef>
          </c:val>
          <c:shape val="box"/>
        </c:ser>
        <c:shape val="box"/>
        <c:axId val="4081015"/>
        <c:axId val="36729136"/>
      </c:bar3DChart>
      <c:catAx>
        <c:axId val="4081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Trial</a:t>
                </a:r>
              </a:p>
            </c:rich>
          </c:tx>
          <c:layout>
            <c:manualLayout>
              <c:xMode val="factor"/>
              <c:yMode val="factor"/>
              <c:x val="-0.011"/>
              <c:y val="0.05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29136"/>
        <c:crosses val="autoZero"/>
        <c:auto val="1"/>
        <c:lblOffset val="100"/>
        <c:tickLblSkip val="1"/>
        <c:noMultiLvlLbl val="0"/>
      </c:catAx>
      <c:valAx>
        <c:axId val="367291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Energy (j)</a:t>
                </a:r>
              </a:p>
            </c:rich>
          </c:tx>
          <c:layout>
            <c:manualLayout>
              <c:xMode val="factor"/>
              <c:yMode val="factor"/>
              <c:x val="-0.02975"/>
              <c:y val="0.03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810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35"/>
          <c:y val="0.49275"/>
          <c:w val="0.09775"/>
          <c:h val="0.076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Average BB Velocities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>
          <a:noFill/>
        </a:ln>
      </c:spPr>
    </c:title>
    <c:view3D>
      <c:rotX val="15"/>
      <c:hPercent val="84"/>
      <c:rotY val="20"/>
      <c:depthPercent val="100"/>
      <c:rAngAx val="1"/>
    </c:view3D>
    <c:plotArea>
      <c:layout>
        <c:manualLayout>
          <c:xMode val="edge"/>
          <c:yMode val="edge"/>
          <c:x val="0.038"/>
          <c:y val="0.088"/>
          <c:w val="0.76"/>
          <c:h val="0.84375"/>
        </c:manualLayout>
      </c:layout>
      <c:bar3DChart>
        <c:barDir val="col"/>
        <c:grouping val="clustered"/>
        <c:varyColors val="0"/>
        <c:ser>
          <c:idx val="2"/>
          <c:order val="0"/>
          <c:tx>
            <c:v>Pistol .2 Gram BB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Sheet1!$S$13</c:f>
              <c:numCache>
                <c:ptCount val="1"/>
              </c:numCache>
            </c:numRef>
          </c:val>
          <c:shape val="box"/>
        </c:ser>
        <c:ser>
          <c:idx val="3"/>
          <c:order val="1"/>
          <c:tx>
            <c:v>Pistol .3 Gram BB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Sheet1!$S$18</c:f>
              <c:numCache>
                <c:ptCount val="1"/>
              </c:numCache>
            </c:numRef>
          </c:val>
          <c:shape val="box"/>
        </c:ser>
        <c:ser>
          <c:idx val="0"/>
          <c:order val="2"/>
          <c:tx>
            <c:v>Assault Rifle .2 Gram BB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Sheet1!$S$2:$T$2</c:f>
              <c:numCache>
                <c:ptCount val="1"/>
              </c:numCache>
            </c:numRef>
          </c:cat>
          <c:val>
            <c:numRef>
              <c:f>Sheet1!$S$3</c:f>
              <c:numCache>
                <c:ptCount val="1"/>
              </c:numCache>
            </c:numRef>
          </c:val>
          <c:shape val="box"/>
        </c:ser>
        <c:ser>
          <c:idx val="1"/>
          <c:order val="3"/>
          <c:tx>
            <c:v>Assault Rifle .3 Gram BB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Sheet1!$S$8</c:f>
              <c:numCache>
                <c:ptCount val="1"/>
              </c:numCache>
            </c:numRef>
          </c:val>
          <c:shape val="box"/>
        </c:ser>
        <c:ser>
          <c:idx val="4"/>
          <c:order val="4"/>
          <c:tx>
            <c:v>Sniper .2 Gram BB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Sheet1!$S$23</c:f>
              <c:numCache>
                <c:ptCount val="1"/>
              </c:numCache>
            </c:numRef>
          </c:val>
          <c:shape val="box"/>
        </c:ser>
        <c:ser>
          <c:idx val="6"/>
          <c:order val="5"/>
          <c:tx>
            <c:v>Sniper .3 Gram BB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Sheet1!$S$28</c:f>
              <c:numCache>
                <c:ptCount val="1"/>
              </c:numCache>
            </c:numRef>
          </c:val>
          <c:shape val="box"/>
        </c:ser>
        <c:shape val="box"/>
        <c:axId val="62126769"/>
        <c:axId val="22270010"/>
      </c:bar3DChart>
      <c:catAx>
        <c:axId val="62126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Gun/BB Variations</a:t>
                </a:r>
              </a:p>
            </c:rich>
          </c:tx>
          <c:layout>
            <c:manualLayout>
              <c:xMode val="factor"/>
              <c:yMode val="factor"/>
              <c:x val="-0.0045"/>
              <c:y val="0.063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2270010"/>
        <c:crosses val="autoZero"/>
        <c:auto val="1"/>
        <c:lblOffset val="100"/>
        <c:tickLblSkip val="1"/>
        <c:noMultiLvlLbl val="0"/>
      </c:catAx>
      <c:valAx>
        <c:axId val="22270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Velocity (m/s)</a:t>
                </a:r>
              </a:p>
            </c:rich>
          </c:tx>
          <c:layout>
            <c:manualLayout>
              <c:xMode val="factor"/>
              <c:yMode val="factor"/>
              <c:x val="-0.02525"/>
              <c:y val="0.0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267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25"/>
          <c:y val="0.4125"/>
          <c:w val="0.16875"/>
          <c:h val="0.23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Average Kinetic Energy of BBs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>
          <a:noFill/>
        </a:ln>
      </c:spPr>
    </c:title>
    <c:view3D>
      <c:rotX val="15"/>
      <c:hPercent val="84"/>
      <c:rotY val="20"/>
      <c:depthPercent val="100"/>
      <c:rAngAx val="1"/>
    </c:view3D>
    <c:plotArea>
      <c:layout>
        <c:manualLayout>
          <c:xMode val="edge"/>
          <c:yMode val="edge"/>
          <c:x val="0.038"/>
          <c:y val="0.088"/>
          <c:w val="0.76"/>
          <c:h val="0.84375"/>
        </c:manualLayout>
      </c:layout>
      <c:bar3DChart>
        <c:barDir val="col"/>
        <c:grouping val="clustered"/>
        <c:varyColors val="0"/>
        <c:ser>
          <c:idx val="2"/>
          <c:order val="0"/>
          <c:tx>
            <c:v>Pistol .2 Gram BB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Sheet1!$T$13</c:f>
              <c:numCache>
                <c:ptCount val="1"/>
              </c:numCache>
            </c:numRef>
          </c:val>
          <c:shape val="box"/>
        </c:ser>
        <c:ser>
          <c:idx val="3"/>
          <c:order val="1"/>
          <c:tx>
            <c:v>Pistol .3 Gram BB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Sheet1!$T$18</c:f>
              <c:numCache>
                <c:ptCount val="1"/>
              </c:numCache>
            </c:numRef>
          </c:val>
          <c:shape val="box"/>
        </c:ser>
        <c:ser>
          <c:idx val="0"/>
          <c:order val="2"/>
          <c:tx>
            <c:v>Assault Rifle .2 Gram BB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Sheet1!$S$2:$T$2</c:f>
              <c:numCache>
                <c:ptCount val="1"/>
              </c:numCache>
            </c:numRef>
          </c:cat>
          <c:val>
            <c:numRef>
              <c:f>Sheet1!$T$3</c:f>
              <c:numCache>
                <c:ptCount val="1"/>
              </c:numCache>
            </c:numRef>
          </c:val>
          <c:shape val="box"/>
        </c:ser>
        <c:ser>
          <c:idx val="1"/>
          <c:order val="3"/>
          <c:tx>
            <c:v>Assault Rifle .3 Gram BB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Sheet1!$T$8</c:f>
              <c:numCache>
                <c:ptCount val="1"/>
              </c:numCache>
            </c:numRef>
          </c:val>
          <c:shape val="box"/>
        </c:ser>
        <c:ser>
          <c:idx val="4"/>
          <c:order val="4"/>
          <c:tx>
            <c:v>Sniper .2 Gram BB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Sheet1!$T$23</c:f>
              <c:numCache>
                <c:ptCount val="1"/>
              </c:numCache>
            </c:numRef>
          </c:val>
          <c:shape val="box"/>
        </c:ser>
        <c:ser>
          <c:idx val="5"/>
          <c:order val="5"/>
          <c:tx>
            <c:v>Sniper .3 Gram BB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Sheet1!$T$28</c:f>
              <c:numCache>
                <c:ptCount val="1"/>
              </c:numCache>
            </c:numRef>
          </c:val>
          <c:shape val="box"/>
        </c:ser>
        <c:shape val="box"/>
        <c:axId val="66212363"/>
        <c:axId val="59040356"/>
      </c:bar3DChart>
      <c:catAx>
        <c:axId val="66212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Gun/BB Variations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62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9040356"/>
        <c:crosses val="autoZero"/>
        <c:auto val="1"/>
        <c:lblOffset val="100"/>
        <c:tickLblSkip val="1"/>
        <c:noMultiLvlLbl val="0"/>
      </c:catAx>
      <c:valAx>
        <c:axId val="59040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Energy (j)</a:t>
                </a:r>
              </a:p>
            </c:rich>
          </c:tx>
          <c:layout>
            <c:manualLayout>
              <c:xMode val="factor"/>
              <c:yMode val="factor"/>
              <c:x val="-0.02525"/>
              <c:y val="0.0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2123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25"/>
          <c:y val="0.4125"/>
          <c:w val="0.16875"/>
          <c:h val="0.23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="50" zoomScaleNormal="50" zoomScalePageLayoutView="0" workbookViewId="0" topLeftCell="A1">
      <selection activeCell="D3" sqref="D3"/>
    </sheetView>
  </sheetViews>
  <sheetFormatPr defaultColWidth="9.140625" defaultRowHeight="15"/>
  <cols>
    <col min="2" max="2" width="5.140625" style="0" bestFit="1" customWidth="1"/>
    <col min="3" max="3" width="22.140625" style="0" bestFit="1" customWidth="1"/>
    <col min="4" max="4" width="19.140625" style="0" bestFit="1" customWidth="1"/>
    <col min="5" max="5" width="20.140625" style="0" bestFit="1" customWidth="1"/>
    <col min="6" max="6" width="14.00390625" style="0" customWidth="1"/>
    <col min="7" max="7" width="24.140625" style="0" bestFit="1" customWidth="1"/>
    <col min="8" max="8" width="25.421875" style="0" bestFit="1" customWidth="1"/>
    <col min="9" max="9" width="22.421875" style="0" bestFit="1" customWidth="1"/>
    <col min="10" max="10" width="23.57421875" style="0" bestFit="1" customWidth="1"/>
    <col min="11" max="11" width="23.421875" style="0" bestFit="1" customWidth="1"/>
    <col min="12" max="12" width="21.7109375" style="0" bestFit="1" customWidth="1"/>
    <col min="13" max="13" width="38.00390625" style="0" bestFit="1" customWidth="1"/>
    <col min="14" max="14" width="20.28125" style="0" customWidth="1"/>
    <col min="15" max="15" width="20.140625" style="0" bestFit="1" customWidth="1"/>
    <col min="16" max="16" width="27.140625" style="0" customWidth="1"/>
    <col min="17" max="17" width="30.7109375" style="0" bestFit="1" customWidth="1"/>
    <col min="19" max="19" width="16.28125" style="0" bestFit="1" customWidth="1"/>
    <col min="20" max="20" width="14.8515625" style="0" bestFit="1" customWidth="1"/>
  </cols>
  <sheetData>
    <row r="1" ht="15.75">
      <c r="A1" s="20" t="s">
        <v>20</v>
      </c>
    </row>
    <row r="2" spans="1:20" ht="15.75" thickBot="1">
      <c r="A2" s="13" t="s">
        <v>1</v>
      </c>
      <c r="B2" s="13" t="s">
        <v>0</v>
      </c>
      <c r="C2" s="13" t="s">
        <v>9</v>
      </c>
      <c r="D2" s="13" t="s">
        <v>8</v>
      </c>
      <c r="E2" s="13" t="s">
        <v>7</v>
      </c>
      <c r="F2" s="13" t="s">
        <v>10</v>
      </c>
      <c r="G2" s="13" t="s">
        <v>11</v>
      </c>
      <c r="H2" s="13" t="s">
        <v>12</v>
      </c>
      <c r="I2" s="13" t="s">
        <v>13</v>
      </c>
      <c r="J2" s="13" t="s">
        <v>14</v>
      </c>
      <c r="K2" s="13" t="s">
        <v>15</v>
      </c>
      <c r="L2" s="13" t="s">
        <v>16</v>
      </c>
      <c r="M2" s="13" t="s">
        <v>17</v>
      </c>
      <c r="N2" s="14" t="s">
        <v>18</v>
      </c>
      <c r="O2" s="13" t="s">
        <v>5</v>
      </c>
      <c r="P2" s="13" t="s">
        <v>6</v>
      </c>
      <c r="Q2" s="14" t="s">
        <v>19</v>
      </c>
      <c r="R2" s="2"/>
      <c r="S2" s="2"/>
      <c r="T2" s="2"/>
    </row>
    <row r="3" spans="1:20" ht="15">
      <c r="A3" s="8" t="s">
        <v>2</v>
      </c>
      <c r="B3" s="8">
        <v>1</v>
      </c>
      <c r="C3" s="9">
        <v>30</v>
      </c>
      <c r="D3" s="8">
        <v>0.2</v>
      </c>
      <c r="E3" s="8">
        <f>D3/1000</f>
        <v>0.0002</v>
      </c>
      <c r="F3" s="10">
        <f>0.667333333333-0.4004</f>
        <v>0.26693333333300007</v>
      </c>
      <c r="G3" s="11">
        <f>(27.4685584654-17.6499559962)</f>
        <v>9.818602469200002</v>
      </c>
      <c r="H3" s="10">
        <f aca="true" t="shared" si="0" ref="H3:H32">G3/100</f>
        <v>0.09818602469200002</v>
      </c>
      <c r="I3" s="11">
        <f>15.7398814957-13.1155545685</f>
        <v>2.6243269272000003</v>
      </c>
      <c r="J3" s="10">
        <f>I3/100</f>
        <v>0.026243269272000002</v>
      </c>
      <c r="K3" s="8">
        <f aca="true" t="shared" si="1" ref="K3:K32">(C3+D3)*9.81*J3</f>
        <v>7.774883441061265</v>
      </c>
      <c r="L3" s="8">
        <f aca="true" t="shared" si="2" ref="L3:L32">SQRT(2*9.81*J3)</f>
        <v>0.7175604107785212</v>
      </c>
      <c r="M3" s="8">
        <f aca="true" t="shared" si="3" ref="M3:M32">0.5*(C3+D3)*(L3^2)</f>
        <v>7.774883441061264</v>
      </c>
      <c r="N3" s="12">
        <f aca="true" t="shared" si="4" ref="N3:N32">((D3+C3)/D3)*L3</f>
        <v>108.3516220275567</v>
      </c>
      <c r="O3" s="8">
        <f aca="true" t="shared" si="5" ref="O3:O32">N3*D3</f>
        <v>21.67032440551134</v>
      </c>
      <c r="P3" s="8">
        <f aca="true" t="shared" si="6" ref="P3:P32">(D3+C3)*L3</f>
        <v>21.670324405511337</v>
      </c>
      <c r="Q3" s="12">
        <f>0.5*E3*(N3^2)</f>
        <v>1.1740073996002511</v>
      </c>
      <c r="R3" s="2"/>
      <c r="S3" s="2"/>
      <c r="T3" s="2"/>
    </row>
    <row r="4" spans="1:20" ht="15">
      <c r="A4" s="3" t="s">
        <v>2</v>
      </c>
      <c r="B4" s="3">
        <v>2</v>
      </c>
      <c r="C4" s="4">
        <v>30.2</v>
      </c>
      <c r="D4" s="3">
        <v>0.2</v>
      </c>
      <c r="E4" s="3">
        <f aca="true" t="shared" si="7" ref="E4:E32">D4/1000</f>
        <v>0.0002</v>
      </c>
      <c r="F4" s="5">
        <f>1.23456666667-0.967633333333</f>
        <v>0.266933333337</v>
      </c>
      <c r="G4" s="6">
        <f>(23.2034782609-13.5513043478)</f>
        <v>9.652173913099999</v>
      </c>
      <c r="H4" s="5">
        <f t="shared" si="0"/>
        <v>0.09652173913099998</v>
      </c>
      <c r="I4" s="6">
        <f>14.9102581522-12.3015625</f>
        <v>2.6086956522000015</v>
      </c>
      <c r="J4" s="5">
        <f aca="true" t="shared" si="8" ref="J4:J32">I4/100</f>
        <v>0.026086956522000014</v>
      </c>
      <c r="K4" s="3">
        <f t="shared" si="1"/>
        <v>7.779756521816932</v>
      </c>
      <c r="L4" s="3">
        <f t="shared" si="2"/>
        <v>0.7154202170484424</v>
      </c>
      <c r="M4" s="3">
        <f t="shared" si="3"/>
        <v>7.7797565218169344</v>
      </c>
      <c r="N4" s="7">
        <f t="shared" si="4"/>
        <v>108.74387299136322</v>
      </c>
      <c r="O4" s="3">
        <f t="shared" si="5"/>
        <v>21.748774598272647</v>
      </c>
      <c r="P4" s="3">
        <f t="shared" si="6"/>
        <v>21.748774598272647</v>
      </c>
      <c r="Q4" s="7">
        <f aca="true" t="shared" si="9" ref="Q4:Q32">0.5*E4*(N4^2)</f>
        <v>1.1825229913161734</v>
      </c>
      <c r="R4" s="2"/>
      <c r="S4" s="2"/>
      <c r="T4" s="2"/>
    </row>
    <row r="5" spans="1:20" ht="15">
      <c r="A5" s="3" t="s">
        <v>2</v>
      </c>
      <c r="B5" s="3">
        <v>3</v>
      </c>
      <c r="C5" s="4">
        <v>30.4</v>
      </c>
      <c r="D5" s="3">
        <v>0.2</v>
      </c>
      <c r="E5" s="3">
        <f t="shared" si="7"/>
        <v>0.0002</v>
      </c>
      <c r="F5" s="5">
        <f>1.5015-1.23456666667</f>
        <v>0.26693333333000013</v>
      </c>
      <c r="G5" s="6">
        <f>23.2698689956-13.5318777293</f>
        <v>9.7379912663</v>
      </c>
      <c r="H5" s="5">
        <f t="shared" si="0"/>
        <v>0.097379912663</v>
      </c>
      <c r="I5" s="6">
        <f>14.9170305677-12.1659388646</f>
        <v>2.7510917031</v>
      </c>
      <c r="J5" s="5">
        <f t="shared" si="8"/>
        <v>0.027510917031</v>
      </c>
      <c r="K5" s="3">
        <f t="shared" si="1"/>
        <v>8.258392139867766</v>
      </c>
      <c r="L5" s="3">
        <f t="shared" si="2"/>
        <v>0.7346864583944773</v>
      </c>
      <c r="M5" s="3">
        <f t="shared" si="3"/>
        <v>8.258392139867766</v>
      </c>
      <c r="N5" s="7">
        <f t="shared" si="4"/>
        <v>112.40702813435502</v>
      </c>
      <c r="O5" s="3">
        <f t="shared" si="5"/>
        <v>22.481405626871005</v>
      </c>
      <c r="P5" s="3">
        <f t="shared" si="6"/>
        <v>22.481405626871005</v>
      </c>
      <c r="Q5" s="7">
        <f t="shared" si="9"/>
        <v>1.263533997399768</v>
      </c>
      <c r="R5" s="2"/>
      <c r="S5" s="2"/>
      <c r="T5" s="2"/>
    </row>
    <row r="6" spans="1:20" ht="15">
      <c r="A6" s="3" t="s">
        <v>2</v>
      </c>
      <c r="B6" s="3">
        <v>4</v>
      </c>
      <c r="C6" s="4">
        <v>30.6</v>
      </c>
      <c r="D6" s="3">
        <v>0.2</v>
      </c>
      <c r="E6" s="3">
        <f t="shared" si="7"/>
        <v>0.0002</v>
      </c>
      <c r="F6" s="5">
        <f>1.33466666667-1.03436666667</f>
        <v>0.3003</v>
      </c>
      <c r="G6" s="6">
        <f>23.0935622318-13.5656652361</f>
        <v>9.5278969957</v>
      </c>
      <c r="H6" s="5">
        <f t="shared" si="0"/>
        <v>0.09527896995700001</v>
      </c>
      <c r="I6" s="6">
        <f>14.7038626609-12.0429184549</f>
        <v>2.660944206</v>
      </c>
      <c r="J6" s="5">
        <f t="shared" si="8"/>
        <v>0.02660944206</v>
      </c>
      <c r="K6" s="3">
        <f t="shared" si="1"/>
        <v>8.039989699544881</v>
      </c>
      <c r="L6" s="3">
        <f t="shared" si="2"/>
        <v>0.7225491355037386</v>
      </c>
      <c r="M6" s="3">
        <f t="shared" si="3"/>
        <v>8.039989699544881</v>
      </c>
      <c r="N6" s="7">
        <f t="shared" si="4"/>
        <v>111.27256686757573</v>
      </c>
      <c r="O6" s="3">
        <f t="shared" si="5"/>
        <v>22.25451337351515</v>
      </c>
      <c r="P6" s="3">
        <f t="shared" si="6"/>
        <v>22.25451337351515</v>
      </c>
      <c r="Q6" s="7">
        <f t="shared" si="9"/>
        <v>1.2381584137299113</v>
      </c>
      <c r="R6" s="2"/>
      <c r="S6" s="2"/>
      <c r="T6" s="2"/>
    </row>
    <row r="7" spans="1:20" ht="15">
      <c r="A7" s="3" t="s">
        <v>2</v>
      </c>
      <c r="B7" s="3">
        <v>5</v>
      </c>
      <c r="C7" s="4">
        <v>30.8</v>
      </c>
      <c r="D7" s="3">
        <v>0.2</v>
      </c>
      <c r="E7" s="3">
        <f t="shared" si="7"/>
        <v>0.0002</v>
      </c>
      <c r="F7" s="5">
        <f>1.56823333333-1.3013</f>
        <v>0.26693333333000013</v>
      </c>
      <c r="G7" s="6">
        <f>23.0556521739-13.5339130435</f>
        <v>9.5217391304</v>
      </c>
      <c r="H7" s="5">
        <f t="shared" si="0"/>
        <v>0.095217391304</v>
      </c>
      <c r="I7" s="6">
        <f>14.6347826087-11.9826086957</f>
        <v>2.6521739130000004</v>
      </c>
      <c r="J7" s="5">
        <f t="shared" si="8"/>
        <v>0.026521739130000003</v>
      </c>
      <c r="K7" s="3">
        <f t="shared" si="1"/>
        <v>8.0655260868243</v>
      </c>
      <c r="L7" s="3">
        <f t="shared" si="2"/>
        <v>0.7213574160779108</v>
      </c>
      <c r="M7" s="3">
        <f t="shared" si="3"/>
        <v>8.0655260868243</v>
      </c>
      <c r="N7" s="7">
        <f t="shared" si="4"/>
        <v>111.81039949207617</v>
      </c>
      <c r="O7" s="3">
        <f t="shared" si="5"/>
        <v>22.362079898415235</v>
      </c>
      <c r="P7" s="3">
        <f t="shared" si="6"/>
        <v>22.362079898415235</v>
      </c>
      <c r="Q7" s="7">
        <f t="shared" si="9"/>
        <v>1.2501565434577668</v>
      </c>
      <c r="R7" s="2"/>
      <c r="S7" s="2"/>
      <c r="T7" s="2"/>
    </row>
    <row r="8" spans="1:20" ht="15">
      <c r="A8" s="3" t="s">
        <v>2</v>
      </c>
      <c r="B8" s="3">
        <v>1</v>
      </c>
      <c r="C8" s="4">
        <v>31.1</v>
      </c>
      <c r="D8" s="3">
        <v>0.3</v>
      </c>
      <c r="E8" s="3">
        <f t="shared" si="7"/>
        <v>0.0003</v>
      </c>
      <c r="F8" s="5">
        <f>1.36803333333-1.06773333333</f>
        <v>0.3003</v>
      </c>
      <c r="G8" s="6">
        <f>26.1164817203-14.8570479925</f>
        <v>11.259433727800001</v>
      </c>
      <c r="H8" s="5">
        <f t="shared" si="0"/>
        <v>0.11259433727800001</v>
      </c>
      <c r="I8" s="6">
        <f>15.9253430646-12.5475129462</f>
        <v>3.3778301184000004</v>
      </c>
      <c r="J8" s="5">
        <f t="shared" si="8"/>
        <v>0.033778301184000006</v>
      </c>
      <c r="K8" s="3">
        <f t="shared" si="1"/>
        <v>10.404865226912259</v>
      </c>
      <c r="L8" s="3">
        <f t="shared" si="2"/>
        <v>0.8140824707792695</v>
      </c>
      <c r="M8" s="3">
        <f t="shared" si="3"/>
        <v>10.40486522691226</v>
      </c>
      <c r="N8" s="7">
        <f t="shared" si="4"/>
        <v>85.20729860823022</v>
      </c>
      <c r="O8" s="3">
        <f t="shared" si="5"/>
        <v>25.562189582469063</v>
      </c>
      <c r="P8" s="3">
        <f t="shared" si="6"/>
        <v>25.562189582469067</v>
      </c>
      <c r="Q8" s="7">
        <f t="shared" si="9"/>
        <v>1.0890425604168166</v>
      </c>
      <c r="R8" s="2"/>
      <c r="S8" s="2"/>
      <c r="T8" s="2"/>
    </row>
    <row r="9" spans="1:20" ht="15">
      <c r="A9" s="3" t="s">
        <v>2</v>
      </c>
      <c r="B9" s="3">
        <v>2</v>
      </c>
      <c r="C9" s="4">
        <v>31.4</v>
      </c>
      <c r="D9" s="3">
        <v>0.3</v>
      </c>
      <c r="E9" s="3">
        <f t="shared" si="7"/>
        <v>0.0003</v>
      </c>
      <c r="F9" s="5">
        <f>1.06773333333-0.8008</f>
        <v>0.26693333333000013</v>
      </c>
      <c r="G9" s="6">
        <f>25.6751251032-14.6030814503</f>
        <v>11.0720436529</v>
      </c>
      <c r="H9" s="5">
        <f t="shared" si="0"/>
        <v>0.110720436529</v>
      </c>
      <c r="I9" s="6">
        <f>15.8727991695-12.5254371349</f>
        <v>3.3473620345999997</v>
      </c>
      <c r="J9" s="5">
        <f t="shared" si="8"/>
        <v>0.033473620345999995</v>
      </c>
      <c r="K9" s="3">
        <f t="shared" si="1"/>
        <v>10.409526034338041</v>
      </c>
      <c r="L9" s="3">
        <f t="shared" si="2"/>
        <v>0.8104026352304883</v>
      </c>
      <c r="M9" s="3">
        <f t="shared" si="3"/>
        <v>10.40952603433804</v>
      </c>
      <c r="N9" s="7">
        <f t="shared" si="4"/>
        <v>85.63254512268827</v>
      </c>
      <c r="O9" s="3">
        <f t="shared" si="5"/>
        <v>25.68976353680648</v>
      </c>
      <c r="P9" s="3">
        <f t="shared" si="6"/>
        <v>25.689763536806478</v>
      </c>
      <c r="Q9" s="7">
        <f t="shared" si="9"/>
        <v>1.0999399176283864</v>
      </c>
      <c r="R9" s="2"/>
      <c r="S9" s="2"/>
      <c r="T9" s="2"/>
    </row>
    <row r="10" spans="1:20" ht="15">
      <c r="A10" s="3" t="s">
        <v>2</v>
      </c>
      <c r="B10" s="3">
        <v>3</v>
      </c>
      <c r="C10" s="4">
        <v>31.7</v>
      </c>
      <c r="D10" s="3">
        <v>0.3</v>
      </c>
      <c r="E10" s="3">
        <f t="shared" si="7"/>
        <v>0.0003</v>
      </c>
      <c r="F10" s="5">
        <f>1.56823333333-1.3013</f>
        <v>0.26693333333000013</v>
      </c>
      <c r="G10" s="6">
        <f>25.3882669925-14.5602243872</f>
        <v>10.8280426053</v>
      </c>
      <c r="H10" s="5">
        <f t="shared" si="0"/>
        <v>0.108280426053</v>
      </c>
      <c r="I10" s="6">
        <f>15.4823544671-12.2950677325</f>
        <v>3.1872867346000007</v>
      </c>
      <c r="J10" s="5">
        <f t="shared" si="8"/>
        <v>0.031872867346000006</v>
      </c>
      <c r="K10" s="3">
        <f t="shared" si="1"/>
        <v>10.005530517256322</v>
      </c>
      <c r="L10" s="3">
        <f t="shared" si="2"/>
        <v>0.7907879977140018</v>
      </c>
      <c r="M10" s="3">
        <f t="shared" si="3"/>
        <v>10.005530517256322</v>
      </c>
      <c r="N10" s="7">
        <f t="shared" si="4"/>
        <v>84.35071975616019</v>
      </c>
      <c r="O10" s="3">
        <f t="shared" si="5"/>
        <v>25.305215926848057</v>
      </c>
      <c r="P10" s="3">
        <f t="shared" si="6"/>
        <v>25.305215926848057</v>
      </c>
      <c r="Q10" s="7">
        <f t="shared" si="9"/>
        <v>1.0672565885073408</v>
      </c>
      <c r="R10" s="2"/>
      <c r="S10" s="2"/>
      <c r="T10" s="2"/>
    </row>
    <row r="11" spans="1:20" ht="15">
      <c r="A11" s="3" t="s">
        <v>2</v>
      </c>
      <c r="B11" s="3">
        <v>4</v>
      </c>
      <c r="C11" s="4">
        <v>32</v>
      </c>
      <c r="D11" s="3">
        <v>0.3</v>
      </c>
      <c r="E11" s="3">
        <f t="shared" si="7"/>
        <v>0.0003</v>
      </c>
      <c r="F11" s="5">
        <f>2.13546666667-1.86853333333</f>
        <v>0.26693333334000013</v>
      </c>
      <c r="G11" s="6">
        <f>25.2858170812-14.5108558241</f>
        <v>10.774961257100001</v>
      </c>
      <c r="H11" s="5">
        <f t="shared" si="0"/>
        <v>0.107749612571</v>
      </c>
      <c r="I11" s="6">
        <f>15.283205047-12.180016205</f>
        <v>3.103188842</v>
      </c>
      <c r="J11" s="5">
        <f t="shared" si="8"/>
        <v>0.031031888419999997</v>
      </c>
      <c r="K11" s="3">
        <f t="shared" si="1"/>
        <v>9.83285726042646</v>
      </c>
      <c r="L11" s="3">
        <f t="shared" si="2"/>
        <v>0.7802856212954331</v>
      </c>
      <c r="M11" s="3">
        <f t="shared" si="3"/>
        <v>9.832857260426461</v>
      </c>
      <c r="N11" s="7">
        <f t="shared" si="4"/>
        <v>84.01075189280829</v>
      </c>
      <c r="O11" s="3">
        <f t="shared" si="5"/>
        <v>25.203225567842484</v>
      </c>
      <c r="P11" s="3">
        <f t="shared" si="6"/>
        <v>25.203225567842487</v>
      </c>
      <c r="Q11" s="7">
        <f t="shared" si="9"/>
        <v>1.0586709650392485</v>
      </c>
      <c r="R11" s="2"/>
      <c r="S11" s="2"/>
      <c r="T11" s="2"/>
    </row>
    <row r="12" spans="1:20" ht="15.75" thickBot="1">
      <c r="A12" s="15" t="s">
        <v>2</v>
      </c>
      <c r="B12" s="15">
        <v>5</v>
      </c>
      <c r="C12" s="16">
        <v>32.3</v>
      </c>
      <c r="D12" s="15">
        <v>0.3</v>
      </c>
      <c r="E12" s="15">
        <f t="shared" si="7"/>
        <v>0.0003</v>
      </c>
      <c r="F12" s="17">
        <f>3.03636666667-2.76943333333</f>
        <v>0.26693333334000036</v>
      </c>
      <c r="G12" s="18">
        <f>25.7820660302-14.9894086884</f>
        <v>10.7926573418</v>
      </c>
      <c r="H12" s="17">
        <f t="shared" si="0"/>
        <v>0.107926573418</v>
      </c>
      <c r="I12" s="18">
        <f>15.7932460284-12.696991873</f>
        <v>3.0962541554000005</v>
      </c>
      <c r="J12" s="17">
        <f t="shared" si="8"/>
        <v>0.030962541554000005</v>
      </c>
      <c r="K12" s="15">
        <f t="shared" si="1"/>
        <v>9.902006564218524</v>
      </c>
      <c r="L12" s="15">
        <f t="shared" si="2"/>
        <v>0.7794132827258463</v>
      </c>
      <c r="M12" s="15">
        <f t="shared" si="3"/>
        <v>9.902006564218523</v>
      </c>
      <c r="N12" s="19">
        <f t="shared" si="4"/>
        <v>84.69624338954196</v>
      </c>
      <c r="O12" s="15">
        <f t="shared" si="5"/>
        <v>25.40887301686259</v>
      </c>
      <c r="P12" s="15">
        <f t="shared" si="6"/>
        <v>25.408873016862586</v>
      </c>
      <c r="Q12" s="19">
        <f t="shared" si="9"/>
        <v>1.0760180466450795</v>
      </c>
      <c r="R12" s="2"/>
      <c r="S12" s="2"/>
      <c r="T12" s="2"/>
    </row>
    <row r="13" spans="1:20" ht="15">
      <c r="A13" s="8" t="s">
        <v>3</v>
      </c>
      <c r="B13" s="8">
        <v>1</v>
      </c>
      <c r="C13" s="9">
        <v>28</v>
      </c>
      <c r="D13" s="8">
        <v>0.2</v>
      </c>
      <c r="E13" s="8">
        <f t="shared" si="7"/>
        <v>0.0002</v>
      </c>
      <c r="F13" s="10">
        <f>1.33466666667-1.06773333333</f>
        <v>0.2669333333399999</v>
      </c>
      <c r="G13" s="11">
        <f>27.4673398402-16.013706484</f>
        <v>11.453633356200001</v>
      </c>
      <c r="H13" s="10">
        <f t="shared" si="0"/>
        <v>0.114536333562</v>
      </c>
      <c r="I13" s="11">
        <f>16.5901473921-13.902948797</f>
        <v>2.6871985951</v>
      </c>
      <c r="J13" s="10">
        <f t="shared" si="8"/>
        <v>0.026871985951</v>
      </c>
      <c r="K13" s="8">
        <f t="shared" si="1"/>
        <v>7.433919937456541</v>
      </c>
      <c r="L13" s="8">
        <f t="shared" si="2"/>
        <v>0.7261049265489251</v>
      </c>
      <c r="M13" s="8">
        <f t="shared" si="3"/>
        <v>7.433919937456541</v>
      </c>
      <c r="N13" s="12">
        <f t="shared" si="4"/>
        <v>102.38079464339845</v>
      </c>
      <c r="O13" s="8">
        <f t="shared" si="5"/>
        <v>20.47615892867969</v>
      </c>
      <c r="P13" s="8">
        <f t="shared" si="6"/>
        <v>20.476158928679688</v>
      </c>
      <c r="Q13" s="12">
        <f t="shared" si="9"/>
        <v>1.0481827111813724</v>
      </c>
      <c r="R13" s="2"/>
      <c r="S13" s="2"/>
      <c r="T13" s="2"/>
    </row>
    <row r="14" spans="1:20" ht="15">
      <c r="A14" s="3" t="s">
        <v>3</v>
      </c>
      <c r="B14" s="3">
        <v>2</v>
      </c>
      <c r="C14" s="4">
        <v>28.2</v>
      </c>
      <c r="D14" s="3">
        <v>0.2</v>
      </c>
      <c r="E14" s="3">
        <f t="shared" si="7"/>
        <v>0.0002</v>
      </c>
      <c r="F14" s="5">
        <f>1.7017-1.43476666667</f>
        <v>0.2669333333299999</v>
      </c>
      <c r="G14" s="6">
        <f>26.5876323058-16.0640161816</f>
        <v>10.5236161242</v>
      </c>
      <c r="H14" s="5">
        <f t="shared" si="0"/>
        <v>0.105236161242</v>
      </c>
      <c r="I14" s="6">
        <f>15.8247239975-13.5540682363</f>
        <v>2.2706557612000005</v>
      </c>
      <c r="J14" s="5">
        <f t="shared" si="8"/>
        <v>0.022706557612000005</v>
      </c>
      <c r="K14" s="3">
        <f t="shared" si="1"/>
        <v>6.326137776933649</v>
      </c>
      <c r="L14" s="3">
        <f t="shared" si="2"/>
        <v>0.6674598567310548</v>
      </c>
      <c r="M14" s="3">
        <f t="shared" si="3"/>
        <v>6.32613777693365</v>
      </c>
      <c r="N14" s="7">
        <f t="shared" si="4"/>
        <v>94.77929965580977</v>
      </c>
      <c r="O14" s="3">
        <f t="shared" si="5"/>
        <v>18.955859931161953</v>
      </c>
      <c r="P14" s="3">
        <f t="shared" si="6"/>
        <v>18.955859931161957</v>
      </c>
      <c r="Q14" s="7">
        <f t="shared" si="9"/>
        <v>0.8983115643245781</v>
      </c>
      <c r="R14" s="2"/>
      <c r="S14" s="2"/>
      <c r="T14" s="2"/>
    </row>
    <row r="15" spans="1:20" ht="15">
      <c r="A15" s="3" t="s">
        <v>3</v>
      </c>
      <c r="B15" s="3">
        <v>3</v>
      </c>
      <c r="C15" s="4">
        <v>28.4</v>
      </c>
      <c r="D15" s="3">
        <v>0.2</v>
      </c>
      <c r="E15" s="3">
        <f t="shared" si="7"/>
        <v>0.0002</v>
      </c>
      <c r="F15" s="5">
        <f>1.33466666667-1.03436666667</f>
        <v>0.3003</v>
      </c>
      <c r="G15" s="6">
        <f>27.4857005466-16.2577383651</f>
        <v>11.2279621815</v>
      </c>
      <c r="H15" s="5">
        <f t="shared" si="0"/>
        <v>0.11227962181500001</v>
      </c>
      <c r="I15" s="6">
        <f>16.4954553769-13.9077609679</f>
        <v>2.587694409000001</v>
      </c>
      <c r="J15" s="5">
        <f t="shared" si="8"/>
        <v>0.02587694409000001</v>
      </c>
      <c r="K15" s="3">
        <f t="shared" si="1"/>
        <v>7.260190695554942</v>
      </c>
      <c r="L15" s="3">
        <f t="shared" si="2"/>
        <v>0.7125346609434521</v>
      </c>
      <c r="M15" s="3">
        <f t="shared" si="3"/>
        <v>7.260190695554943</v>
      </c>
      <c r="N15" s="7">
        <f t="shared" si="4"/>
        <v>101.89245651491363</v>
      </c>
      <c r="O15" s="3">
        <f t="shared" si="5"/>
        <v>20.378491302982727</v>
      </c>
      <c r="P15" s="3">
        <f t="shared" si="6"/>
        <v>20.378491302982727</v>
      </c>
      <c r="Q15" s="7">
        <f t="shared" si="9"/>
        <v>1.0382072694643567</v>
      </c>
      <c r="R15" s="2"/>
      <c r="S15" s="2"/>
      <c r="T15" s="2"/>
    </row>
    <row r="16" spans="1:20" ht="15">
      <c r="A16" s="3" t="s">
        <v>3</v>
      </c>
      <c r="B16" s="3">
        <v>4</v>
      </c>
      <c r="C16" s="4">
        <v>28.6</v>
      </c>
      <c r="D16" s="3">
        <v>0.2</v>
      </c>
      <c r="E16" s="3">
        <f t="shared" si="7"/>
        <v>0.0002</v>
      </c>
      <c r="F16" s="5">
        <f>1.83516666667-1.53486666667</f>
        <v>0.3003</v>
      </c>
      <c r="G16" s="6">
        <f>26.4991150442-16.189380531</f>
        <v>10.309734513199999</v>
      </c>
      <c r="H16" s="5">
        <f t="shared" si="0"/>
        <v>0.10309734513199999</v>
      </c>
      <c r="I16" s="6">
        <f>15.969579646-13.8014380531</f>
        <v>2.1681415928999996</v>
      </c>
      <c r="J16" s="5">
        <f t="shared" si="8"/>
        <v>0.021681415928999997</v>
      </c>
      <c r="K16" s="3">
        <f t="shared" si="1"/>
        <v>6.125607079588511</v>
      </c>
      <c r="L16" s="3">
        <f t="shared" si="2"/>
        <v>0.6522188133801263</v>
      </c>
      <c r="M16" s="3">
        <f t="shared" si="3"/>
        <v>6.125607079588513</v>
      </c>
      <c r="N16" s="7">
        <f t="shared" si="4"/>
        <v>93.91950912673819</v>
      </c>
      <c r="O16" s="3">
        <f t="shared" si="5"/>
        <v>18.783901825347638</v>
      </c>
      <c r="P16" s="3">
        <f t="shared" si="6"/>
        <v>18.783901825347638</v>
      </c>
      <c r="Q16" s="7">
        <f t="shared" si="9"/>
        <v>0.8820874194607459</v>
      </c>
      <c r="R16" s="2"/>
      <c r="S16" s="2"/>
      <c r="T16" s="2"/>
    </row>
    <row r="17" spans="1:20" ht="15">
      <c r="A17" s="3" t="s">
        <v>3</v>
      </c>
      <c r="B17" s="3">
        <v>5</v>
      </c>
      <c r="C17" s="4">
        <v>28.8</v>
      </c>
      <c r="D17" s="3">
        <v>0.2</v>
      </c>
      <c r="E17" s="3">
        <f t="shared" si="7"/>
        <v>0.0002</v>
      </c>
      <c r="F17" s="5">
        <f>2.1021-1.8018</f>
        <v>0.3003</v>
      </c>
      <c r="G17" s="6">
        <f>26.325398666-16.4154833134</f>
        <v>9.909915352600002</v>
      </c>
      <c r="H17" s="5">
        <f t="shared" si="0"/>
        <v>0.09909915352600002</v>
      </c>
      <c r="I17" s="6">
        <f>16.0793000849-14.1062852636</f>
        <v>1.9730148213000014</v>
      </c>
      <c r="J17" s="5">
        <f t="shared" si="8"/>
        <v>0.019730148213000013</v>
      </c>
      <c r="K17" s="3">
        <f t="shared" si="1"/>
        <v>5.613029865116374</v>
      </c>
      <c r="L17" s="3">
        <f t="shared" si="2"/>
        <v>0.6221780355646286</v>
      </c>
      <c r="M17" s="3">
        <f t="shared" si="3"/>
        <v>5.613029865116373</v>
      </c>
      <c r="N17" s="7">
        <f t="shared" si="4"/>
        <v>90.21581515687114</v>
      </c>
      <c r="O17" s="3">
        <f t="shared" si="5"/>
        <v>18.04316303137423</v>
      </c>
      <c r="P17" s="3">
        <f t="shared" si="6"/>
        <v>18.043163031374228</v>
      </c>
      <c r="Q17" s="7">
        <f t="shared" si="9"/>
        <v>0.8138893304418742</v>
      </c>
      <c r="R17" s="2"/>
      <c r="S17" s="2"/>
      <c r="T17" s="2"/>
    </row>
    <row r="18" spans="1:20" ht="15">
      <c r="A18" s="3" t="s">
        <v>3</v>
      </c>
      <c r="B18" s="3">
        <v>1</v>
      </c>
      <c r="C18" s="4">
        <v>29.1</v>
      </c>
      <c r="D18" s="3">
        <v>0.3</v>
      </c>
      <c r="E18" s="3">
        <f t="shared" si="7"/>
        <v>0.0003</v>
      </c>
      <c r="F18" s="5">
        <f>2.06873333333-1.76843333333</f>
        <v>0.3003</v>
      </c>
      <c r="G18" s="6">
        <f>24.373331782-12.4791740659</f>
        <v>11.8941577161</v>
      </c>
      <c r="H18" s="5">
        <f t="shared" si="0"/>
        <v>0.11894157716100001</v>
      </c>
      <c r="I18" s="6">
        <f>16.9760191985-13.8042438076</f>
        <v>3.1717753909000006</v>
      </c>
      <c r="J18" s="5">
        <f t="shared" si="8"/>
        <v>0.03171775390900001</v>
      </c>
      <c r="K18" s="3">
        <f t="shared" si="1"/>
        <v>9.14784427591033</v>
      </c>
      <c r="L18" s="3">
        <f t="shared" si="2"/>
        <v>0.788861414758372</v>
      </c>
      <c r="M18" s="3">
        <f t="shared" si="3"/>
        <v>9.14784427591033</v>
      </c>
      <c r="N18" s="7">
        <f t="shared" si="4"/>
        <v>77.30841864632046</v>
      </c>
      <c r="O18" s="3">
        <f t="shared" si="5"/>
        <v>23.19252559389614</v>
      </c>
      <c r="P18" s="3">
        <f t="shared" si="6"/>
        <v>23.19252559389614</v>
      </c>
      <c r="Q18" s="7">
        <f t="shared" si="9"/>
        <v>0.8964887390392123</v>
      </c>
      <c r="R18" s="2"/>
      <c r="S18" s="2"/>
      <c r="T18" s="2"/>
    </row>
    <row r="19" spans="1:20" ht="15">
      <c r="A19" s="3" t="s">
        <v>3</v>
      </c>
      <c r="B19" s="3">
        <v>2</v>
      </c>
      <c r="C19" s="4">
        <v>29.4</v>
      </c>
      <c r="D19" s="3">
        <v>0.3</v>
      </c>
      <c r="E19" s="3">
        <f t="shared" si="7"/>
        <v>0.0003</v>
      </c>
      <c r="F19" s="5">
        <f>2.1021-1.8018</f>
        <v>0.3003</v>
      </c>
      <c r="G19" s="6">
        <f>24.4070175439-12.3894736842</f>
        <v>12.0175438597</v>
      </c>
      <c r="H19" s="5">
        <f t="shared" si="0"/>
        <v>0.120175438597</v>
      </c>
      <c r="I19" s="6">
        <f>16.8122807018-13.5666666667</f>
        <v>3.245614035099999</v>
      </c>
      <c r="J19" s="5">
        <f t="shared" si="8"/>
        <v>0.032456140350999994</v>
      </c>
      <c r="K19" s="3">
        <f t="shared" si="1"/>
        <v>9.456323684246307</v>
      </c>
      <c r="L19" s="3">
        <f t="shared" si="2"/>
        <v>0.7979908982479812</v>
      </c>
      <c r="M19" s="3">
        <f t="shared" si="3"/>
        <v>9.456323684246305</v>
      </c>
      <c r="N19" s="7">
        <f t="shared" si="4"/>
        <v>79.00109892655014</v>
      </c>
      <c r="O19" s="3">
        <f t="shared" si="5"/>
        <v>23.70032967796504</v>
      </c>
      <c r="P19" s="3">
        <f t="shared" si="6"/>
        <v>23.70032967796504</v>
      </c>
      <c r="Q19" s="7">
        <f t="shared" si="9"/>
        <v>0.9361760447403842</v>
      </c>
      <c r="R19" s="2"/>
      <c r="S19" s="2"/>
      <c r="T19" s="2"/>
    </row>
    <row r="20" spans="1:20" ht="15">
      <c r="A20" s="3" t="s">
        <v>3</v>
      </c>
      <c r="B20" s="3">
        <v>3</v>
      </c>
      <c r="C20" s="4">
        <v>29.7</v>
      </c>
      <c r="D20" s="3">
        <v>0.3</v>
      </c>
      <c r="E20" s="3">
        <f t="shared" si="7"/>
        <v>0.0003</v>
      </c>
      <c r="F20" s="5">
        <f>1.4014-1.13446666667</f>
        <v>0.2669333333299999</v>
      </c>
      <c r="G20" s="6">
        <f>24.1629159603-11.9900383727</f>
        <v>12.1728775876</v>
      </c>
      <c r="H20" s="5">
        <f t="shared" si="0"/>
        <v>0.121728775876</v>
      </c>
      <c r="I20" s="6">
        <f>17.0349368345-13.6873954979</f>
        <v>3.347541336600001</v>
      </c>
      <c r="J20" s="5">
        <f t="shared" si="8"/>
        <v>0.03347541336600001</v>
      </c>
      <c r="K20" s="3">
        <f t="shared" si="1"/>
        <v>9.851814153613804</v>
      </c>
      <c r="L20" s="3">
        <f t="shared" si="2"/>
        <v>0.8104243396153155</v>
      </c>
      <c r="M20" s="3">
        <f t="shared" si="3"/>
        <v>9.851814153613802</v>
      </c>
      <c r="N20" s="7">
        <f t="shared" si="4"/>
        <v>81.04243396153154</v>
      </c>
      <c r="O20" s="3">
        <f t="shared" si="5"/>
        <v>24.31273018845946</v>
      </c>
      <c r="P20" s="3">
        <f t="shared" si="6"/>
        <v>24.312730188459465</v>
      </c>
      <c r="Q20" s="7">
        <f t="shared" si="9"/>
        <v>0.98518141536138</v>
      </c>
      <c r="R20" s="2"/>
      <c r="S20" s="2"/>
      <c r="T20" s="2"/>
    </row>
    <row r="21" spans="1:20" ht="15">
      <c r="A21" s="3" t="s">
        <v>3</v>
      </c>
      <c r="B21" s="3">
        <v>4</v>
      </c>
      <c r="C21" s="4">
        <v>30</v>
      </c>
      <c r="D21" s="3">
        <v>0.3</v>
      </c>
      <c r="E21" s="3">
        <f t="shared" si="7"/>
        <v>0.0003</v>
      </c>
      <c r="F21" s="5">
        <f>1.7017-1.4014</f>
        <v>0.3003</v>
      </c>
      <c r="G21" s="6">
        <f>24.2305676856-12.7021796301</f>
        <v>11.5283880555</v>
      </c>
      <c r="H21" s="5">
        <f t="shared" si="0"/>
        <v>0.11528388055500001</v>
      </c>
      <c r="I21" s="6">
        <f>16.5808816337-13.6551446507</f>
        <v>2.9257369829999984</v>
      </c>
      <c r="J21" s="5">
        <f t="shared" si="8"/>
        <v>0.029257369829999984</v>
      </c>
      <c r="K21" s="3">
        <f t="shared" si="1"/>
        <v>8.696548380378685</v>
      </c>
      <c r="L21" s="3">
        <f t="shared" si="2"/>
        <v>0.7576474088021418</v>
      </c>
      <c r="M21" s="3">
        <f t="shared" si="3"/>
        <v>8.696548380378685</v>
      </c>
      <c r="N21" s="7">
        <f t="shared" si="4"/>
        <v>76.52238828901632</v>
      </c>
      <c r="O21" s="3">
        <f t="shared" si="5"/>
        <v>22.956716486704895</v>
      </c>
      <c r="P21" s="3">
        <f t="shared" si="6"/>
        <v>22.956716486704895</v>
      </c>
      <c r="Q21" s="7">
        <f t="shared" si="9"/>
        <v>0.8783513864182472</v>
      </c>
      <c r="R21" s="2"/>
      <c r="S21" s="2"/>
      <c r="T21" s="2"/>
    </row>
    <row r="22" spans="1:20" ht="15.75" thickBot="1">
      <c r="A22" s="15" t="s">
        <v>3</v>
      </c>
      <c r="B22" s="15">
        <v>5</v>
      </c>
      <c r="C22" s="16">
        <v>30.3</v>
      </c>
      <c r="D22" s="15">
        <v>0.3</v>
      </c>
      <c r="E22" s="15">
        <f t="shared" si="7"/>
        <v>0.0003</v>
      </c>
      <c r="F22" s="17">
        <f>1.56823333333-1.26793333333</f>
        <v>0.3003</v>
      </c>
      <c r="G22" s="18">
        <f>24.3771608975-12.8555306666</f>
        <v>11.521630230900001</v>
      </c>
      <c r="H22" s="17">
        <f t="shared" si="0"/>
        <v>0.11521630230900001</v>
      </c>
      <c r="I22" s="18">
        <f>16.5694086075-13.6129148124</f>
        <v>2.956493795100002</v>
      </c>
      <c r="J22" s="17">
        <f t="shared" si="8"/>
        <v>0.029564937951000018</v>
      </c>
      <c r="K22" s="15">
        <f t="shared" si="1"/>
        <v>8.874980463758892</v>
      </c>
      <c r="L22" s="15">
        <f t="shared" si="2"/>
        <v>0.7616193817115084</v>
      </c>
      <c r="M22" s="15">
        <f t="shared" si="3"/>
        <v>8.874980463758893</v>
      </c>
      <c r="N22" s="19">
        <f t="shared" si="4"/>
        <v>77.68517693457387</v>
      </c>
      <c r="O22" s="15">
        <f t="shared" si="5"/>
        <v>23.30555308037216</v>
      </c>
      <c r="P22" s="15">
        <f t="shared" si="6"/>
        <v>23.30555308037216</v>
      </c>
      <c r="Q22" s="19">
        <f t="shared" si="9"/>
        <v>0.9052480073034073</v>
      </c>
      <c r="R22" s="2"/>
      <c r="S22" s="2"/>
      <c r="T22" s="2"/>
    </row>
    <row r="23" spans="1:20" ht="15">
      <c r="A23" s="8" t="s">
        <v>4</v>
      </c>
      <c r="B23" s="8">
        <v>1</v>
      </c>
      <c r="C23" s="9">
        <v>32</v>
      </c>
      <c r="D23" s="8">
        <v>0.2</v>
      </c>
      <c r="E23" s="8">
        <f t="shared" si="7"/>
        <v>0.0002</v>
      </c>
      <c r="F23" s="10">
        <f>1.46813333333-1.16783333333</f>
        <v>0.3003</v>
      </c>
      <c r="G23" s="11">
        <f>28.3870425639-14.8103464154</f>
        <v>13.5766961485</v>
      </c>
      <c r="H23" s="10">
        <f t="shared" si="0"/>
        <v>0.135766961485</v>
      </c>
      <c r="I23" s="11">
        <f>19.1650144983-15.1745666439</f>
        <v>3.9904478543999993</v>
      </c>
      <c r="J23" s="10">
        <f t="shared" si="8"/>
        <v>0.03990447854399999</v>
      </c>
      <c r="K23" s="8">
        <f t="shared" si="1"/>
        <v>12.605106491435807</v>
      </c>
      <c r="L23" s="8">
        <f t="shared" si="2"/>
        <v>0.8848309833144858</v>
      </c>
      <c r="M23" s="8">
        <f t="shared" si="3"/>
        <v>12.605106491435807</v>
      </c>
      <c r="N23" s="12">
        <f t="shared" si="4"/>
        <v>142.45778831363222</v>
      </c>
      <c r="O23" s="8">
        <f t="shared" si="5"/>
        <v>28.491557662726446</v>
      </c>
      <c r="P23" s="8">
        <f t="shared" si="6"/>
        <v>28.491557662726446</v>
      </c>
      <c r="Q23" s="12">
        <f t="shared" si="9"/>
        <v>2.0294221451211647</v>
      </c>
      <c r="R23" s="2"/>
      <c r="S23" s="2"/>
      <c r="T23" s="2"/>
    </row>
    <row r="24" spans="1:20" ht="15">
      <c r="A24" s="3" t="s">
        <v>4</v>
      </c>
      <c r="B24" s="3">
        <v>2</v>
      </c>
      <c r="C24" s="4">
        <v>32.2</v>
      </c>
      <c r="D24" s="3">
        <v>0.2</v>
      </c>
      <c r="E24" s="3">
        <f t="shared" si="7"/>
        <v>0.0002</v>
      </c>
      <c r="F24" s="5">
        <f>1.13446666667-0.867533333333</f>
        <v>0.2669333333370001</v>
      </c>
      <c r="G24" s="6">
        <f>28.3051292872-15.0345080156</f>
        <v>13.2706212716</v>
      </c>
      <c r="H24" s="5">
        <f t="shared" si="0"/>
        <v>0.132706212716</v>
      </c>
      <c r="I24" s="6">
        <f>19.1906344772-15.1818009681</f>
        <v>4.0088335091000005</v>
      </c>
      <c r="J24" s="5">
        <f t="shared" si="8"/>
        <v>0.040088335091</v>
      </c>
      <c r="K24" s="3">
        <f t="shared" si="1"/>
        <v>12.741836778663806</v>
      </c>
      <c r="L24" s="3">
        <f t="shared" si="2"/>
        <v>0.8868670331483858</v>
      </c>
      <c r="M24" s="3">
        <f t="shared" si="3"/>
        <v>12.741836778663805</v>
      </c>
      <c r="N24" s="7">
        <f t="shared" si="4"/>
        <v>143.67245937003852</v>
      </c>
      <c r="O24" s="3">
        <f t="shared" si="5"/>
        <v>28.734491874007706</v>
      </c>
      <c r="P24" s="3">
        <f t="shared" si="6"/>
        <v>28.734491874007706</v>
      </c>
      <c r="Q24" s="7">
        <f t="shared" si="9"/>
        <v>2.064177558143537</v>
      </c>
      <c r="R24" s="2"/>
      <c r="S24" s="2"/>
      <c r="T24" s="2"/>
    </row>
    <row r="25" spans="1:20" ht="15">
      <c r="A25" s="3" t="s">
        <v>4</v>
      </c>
      <c r="B25" s="3">
        <v>3</v>
      </c>
      <c r="C25" s="4">
        <v>32.4</v>
      </c>
      <c r="D25" s="3">
        <v>0.2</v>
      </c>
      <c r="E25" s="3">
        <f t="shared" si="7"/>
        <v>0.0002</v>
      </c>
      <c r="F25" s="5">
        <f>1.26793333333-0.967633333333</f>
        <v>0.3002999999970001</v>
      </c>
      <c r="G25" s="6">
        <f>28.4986591807-14.9515666326</f>
        <v>13.547092548099998</v>
      </c>
      <c r="H25" s="5">
        <f t="shared" si="0"/>
        <v>0.13547092548099998</v>
      </c>
      <c r="I25" s="6">
        <f>19.0451846666-15.0363511574</f>
        <v>4.0088335092000005</v>
      </c>
      <c r="J25" s="5">
        <f t="shared" si="8"/>
        <v>0.04008833509200001</v>
      </c>
      <c r="K25" s="3">
        <f t="shared" si="1"/>
        <v>12.820490092432156</v>
      </c>
      <c r="L25" s="3">
        <f t="shared" si="2"/>
        <v>0.8868670331594473</v>
      </c>
      <c r="M25" s="3">
        <f t="shared" si="3"/>
        <v>12.820490092432156</v>
      </c>
      <c r="N25" s="7">
        <f t="shared" si="4"/>
        <v>144.55932640498992</v>
      </c>
      <c r="O25" s="3">
        <f t="shared" si="5"/>
        <v>28.911865280997986</v>
      </c>
      <c r="P25" s="3">
        <f t="shared" si="6"/>
        <v>28.911865280997983</v>
      </c>
      <c r="Q25" s="7">
        <f t="shared" si="9"/>
        <v>2.0897398850664417</v>
      </c>
      <c r="R25" s="2"/>
      <c r="S25" s="2"/>
      <c r="T25" s="2"/>
    </row>
    <row r="26" spans="1:20" ht="15">
      <c r="A26" s="3" t="s">
        <v>4</v>
      </c>
      <c r="B26" s="3">
        <v>4</v>
      </c>
      <c r="C26" s="4">
        <v>32.6</v>
      </c>
      <c r="D26" s="3">
        <v>0.2</v>
      </c>
      <c r="E26" s="3">
        <f t="shared" si="7"/>
        <v>0.0002</v>
      </c>
      <c r="F26" s="5">
        <f>1.56823333333-1.26793333333</f>
        <v>0.3003</v>
      </c>
      <c r="G26" s="6">
        <f>27.8010516753-15.0749621038</f>
        <v>12.726089571499998</v>
      </c>
      <c r="H26" s="5">
        <f t="shared" si="0"/>
        <v>0.127260895715</v>
      </c>
      <c r="I26" s="6">
        <f>18.7691925116-15.2240675595</f>
        <v>3.5451249521</v>
      </c>
      <c r="J26" s="5">
        <f t="shared" si="8"/>
        <v>0.035451249521000004</v>
      </c>
      <c r="K26" s="3">
        <f t="shared" si="1"/>
        <v>11.407077655873133</v>
      </c>
      <c r="L26" s="3">
        <f t="shared" si="2"/>
        <v>0.8339985105514399</v>
      </c>
      <c r="M26" s="3">
        <f t="shared" si="3"/>
        <v>11.407077655873135</v>
      </c>
      <c r="N26" s="7">
        <f t="shared" si="4"/>
        <v>136.77575573043615</v>
      </c>
      <c r="O26" s="3">
        <f t="shared" si="5"/>
        <v>27.35515114608723</v>
      </c>
      <c r="P26" s="3">
        <f t="shared" si="6"/>
        <v>27.355151146087234</v>
      </c>
      <c r="Q26" s="7">
        <f t="shared" si="9"/>
        <v>1.8707607355631937</v>
      </c>
      <c r="R26" s="2"/>
      <c r="S26" s="2"/>
      <c r="T26" s="2"/>
    </row>
    <row r="27" spans="1:20" ht="15">
      <c r="A27" s="3" t="s">
        <v>4</v>
      </c>
      <c r="B27" s="3">
        <v>5</v>
      </c>
      <c r="C27" s="4">
        <v>32.8</v>
      </c>
      <c r="D27" s="3">
        <v>0.2</v>
      </c>
      <c r="E27" s="3">
        <f t="shared" si="7"/>
        <v>0.0002</v>
      </c>
      <c r="F27" s="5">
        <f>1.9019-1.63496666667</f>
        <v>0.2669333333299999</v>
      </c>
      <c r="G27" s="6">
        <f>27.8867967818-14.9677889746</f>
        <v>12.919007807200002</v>
      </c>
      <c r="H27" s="5">
        <f t="shared" si="0"/>
        <v>0.129190078072</v>
      </c>
      <c r="I27" s="6">
        <f>18.8495970316-15.1975806904</f>
        <v>3.6520163411999977</v>
      </c>
      <c r="J27" s="5">
        <f t="shared" si="8"/>
        <v>0.03652016341199998</v>
      </c>
      <c r="K27" s="3">
        <f t="shared" si="1"/>
        <v>11.822672501366753</v>
      </c>
      <c r="L27" s="3">
        <f t="shared" si="2"/>
        <v>0.8464783553898113</v>
      </c>
      <c r="M27" s="3">
        <f t="shared" si="3"/>
        <v>11.822672501366755</v>
      </c>
      <c r="N27" s="7">
        <f t="shared" si="4"/>
        <v>139.66892863931886</v>
      </c>
      <c r="O27" s="3">
        <f t="shared" si="5"/>
        <v>27.933785727863775</v>
      </c>
      <c r="P27" s="3">
        <f t="shared" si="6"/>
        <v>27.933785727863775</v>
      </c>
      <c r="Q27" s="7">
        <f t="shared" si="9"/>
        <v>1.9507409627255148</v>
      </c>
      <c r="R27" s="2"/>
      <c r="S27" s="2"/>
      <c r="T27" s="2"/>
    </row>
    <row r="28" spans="1:20" ht="15">
      <c r="A28" s="3" t="s">
        <v>4</v>
      </c>
      <c r="B28" s="3">
        <v>1</v>
      </c>
      <c r="C28" s="4">
        <v>33.1</v>
      </c>
      <c r="D28" s="3">
        <v>0.3</v>
      </c>
      <c r="E28" s="3">
        <f t="shared" si="7"/>
        <v>0.0003</v>
      </c>
      <c r="F28" s="5">
        <f>1.53486666667-1.23456666667</f>
        <v>0.3003</v>
      </c>
      <c r="G28" s="6">
        <f>28.3143870198-14.0923052619</f>
        <v>14.222081757900002</v>
      </c>
      <c r="H28" s="5">
        <f t="shared" si="0"/>
        <v>0.14222081757900001</v>
      </c>
      <c r="I28" s="6">
        <f>19.5618901304-14.6286055207</f>
        <v>4.933284609699998</v>
      </c>
      <c r="J28" s="5">
        <f t="shared" si="8"/>
        <v>0.04933284609699998</v>
      </c>
      <c r="K28" s="3">
        <f t="shared" si="1"/>
        <v>16.16410435506643</v>
      </c>
      <c r="L28" s="3">
        <f t="shared" si="2"/>
        <v>0.9838243951148699</v>
      </c>
      <c r="M28" s="3">
        <f t="shared" si="3"/>
        <v>16.16410435506643</v>
      </c>
      <c r="N28" s="7">
        <f t="shared" si="4"/>
        <v>109.53244932278884</v>
      </c>
      <c r="O28" s="3">
        <f t="shared" si="5"/>
        <v>32.85973479683665</v>
      </c>
      <c r="P28" s="3">
        <f t="shared" si="6"/>
        <v>32.859734796836655</v>
      </c>
      <c r="Q28" s="7">
        <f t="shared" si="9"/>
        <v>1.7996036181973953</v>
      </c>
      <c r="R28" s="2"/>
      <c r="S28" s="2"/>
      <c r="T28" s="2"/>
    </row>
    <row r="29" spans="1:20" ht="15">
      <c r="A29" s="3" t="s">
        <v>4</v>
      </c>
      <c r="B29" s="3">
        <v>2</v>
      </c>
      <c r="C29" s="4">
        <v>33.4</v>
      </c>
      <c r="D29" s="3">
        <v>0.3</v>
      </c>
      <c r="E29" s="3">
        <f t="shared" si="7"/>
        <v>0.0003</v>
      </c>
      <c r="F29" s="5">
        <f>1.8018-1.5015</f>
        <v>0.3003</v>
      </c>
      <c r="G29" s="6">
        <f>28.2788318154-11.4345537334</f>
        <v>16.844278082000002</v>
      </c>
      <c r="H29" s="5">
        <f t="shared" si="0"/>
        <v>0.16844278082000003</v>
      </c>
      <c r="I29" s="6">
        <f>21.6140087516-14.3696358561</f>
        <v>7.2443728955</v>
      </c>
      <c r="J29" s="5">
        <f t="shared" si="8"/>
        <v>0.072443728955</v>
      </c>
      <c r="K29" s="3">
        <f t="shared" si="1"/>
        <v>23.94967946133613</v>
      </c>
      <c r="L29" s="3">
        <f t="shared" si="2"/>
        <v>1.1922021481682963</v>
      </c>
      <c r="M29" s="3">
        <f t="shared" si="3"/>
        <v>23.949679461336135</v>
      </c>
      <c r="N29" s="7">
        <f t="shared" si="4"/>
        <v>133.92404131090527</v>
      </c>
      <c r="O29" s="3">
        <f t="shared" si="5"/>
        <v>40.17721239327158</v>
      </c>
      <c r="P29" s="3">
        <f t="shared" si="6"/>
        <v>40.17721239327158</v>
      </c>
      <c r="Q29" s="7">
        <f t="shared" si="9"/>
        <v>2.690347326156759</v>
      </c>
      <c r="R29" s="2"/>
      <c r="S29" s="2"/>
      <c r="T29" s="2"/>
    </row>
    <row r="30" spans="1:20" ht="15">
      <c r="A30" s="3" t="s">
        <v>4</v>
      </c>
      <c r="B30" s="3">
        <v>3</v>
      </c>
      <c r="C30" s="4">
        <v>33.7</v>
      </c>
      <c r="D30" s="3">
        <v>0.3</v>
      </c>
      <c r="E30" s="3">
        <f t="shared" si="7"/>
        <v>0.0003</v>
      </c>
      <c r="F30" s="5">
        <f>1.83516666667-1.53486666667</f>
        <v>0.3003</v>
      </c>
      <c r="G30" s="6">
        <f>28.5348456426-14.7962462851</f>
        <v>13.7385993575</v>
      </c>
      <c r="H30" s="5">
        <f t="shared" si="0"/>
        <v>0.137385993575</v>
      </c>
      <c r="I30" s="6">
        <f>19.1798307541-14.7654611244</f>
        <v>4.4143696296999995</v>
      </c>
      <c r="J30" s="5">
        <f t="shared" si="8"/>
        <v>0.044143696297</v>
      </c>
      <c r="K30" s="3">
        <f t="shared" si="1"/>
        <v>14.72368846290138</v>
      </c>
      <c r="L30" s="3">
        <f t="shared" si="2"/>
        <v>0.9306445730498513</v>
      </c>
      <c r="M30" s="3">
        <f t="shared" si="3"/>
        <v>14.723688462901379</v>
      </c>
      <c r="N30" s="7">
        <f t="shared" si="4"/>
        <v>105.47305161231648</v>
      </c>
      <c r="O30" s="3">
        <f t="shared" si="5"/>
        <v>31.641915483694945</v>
      </c>
      <c r="P30" s="3">
        <f t="shared" si="6"/>
        <v>31.641915483694945</v>
      </c>
      <c r="Q30" s="7">
        <f t="shared" si="9"/>
        <v>1.6686846924621563</v>
      </c>
      <c r="R30" s="2"/>
      <c r="S30" s="2"/>
      <c r="T30" s="2"/>
    </row>
    <row r="31" spans="1:20" ht="15">
      <c r="A31" s="3" t="s">
        <v>4</v>
      </c>
      <c r="B31" s="3">
        <v>4</v>
      </c>
      <c r="C31" s="4">
        <v>34</v>
      </c>
      <c r="D31" s="3">
        <v>0.3</v>
      </c>
      <c r="E31" s="3">
        <f t="shared" si="7"/>
        <v>0.0003</v>
      </c>
      <c r="F31" s="5">
        <f>1.9019-1.6016</f>
        <v>0.3003</v>
      </c>
      <c r="G31" s="6">
        <f>28.2816143498-14.4251121076</f>
        <v>13.856502242200001</v>
      </c>
      <c r="H31" s="5">
        <f t="shared" si="0"/>
        <v>0.138565022422</v>
      </c>
      <c r="I31" s="6">
        <f>19.1399103139-14.5210762332</f>
        <v>4.618834080699999</v>
      </c>
      <c r="J31" s="5">
        <f t="shared" si="8"/>
        <v>0.04618834080699999</v>
      </c>
      <c r="K31" s="3">
        <f t="shared" si="1"/>
        <v>15.541591479761777</v>
      </c>
      <c r="L31" s="3">
        <f t="shared" si="2"/>
        <v>0.9519533846955637</v>
      </c>
      <c r="M31" s="3">
        <f t="shared" si="3"/>
        <v>15.541591479761777</v>
      </c>
      <c r="N31" s="7">
        <f t="shared" si="4"/>
        <v>108.84000365019277</v>
      </c>
      <c r="O31" s="3">
        <f t="shared" si="5"/>
        <v>32.65200109505783</v>
      </c>
      <c r="P31" s="3">
        <f t="shared" si="6"/>
        <v>32.652001095057834</v>
      </c>
      <c r="Q31" s="7">
        <f t="shared" si="9"/>
        <v>1.7769219591860963</v>
      </c>
      <c r="R31" s="2"/>
      <c r="S31" s="2"/>
      <c r="T31" s="2"/>
    </row>
    <row r="32" spans="1:20" ht="15">
      <c r="A32" s="3" t="s">
        <v>4</v>
      </c>
      <c r="B32" s="3">
        <v>5</v>
      </c>
      <c r="C32" s="4">
        <v>34.3</v>
      </c>
      <c r="D32" s="3">
        <v>0.3</v>
      </c>
      <c r="E32" s="3">
        <f t="shared" si="7"/>
        <v>0.0003</v>
      </c>
      <c r="F32" s="5">
        <f>1.9019-1.6016</f>
        <v>0.3003</v>
      </c>
      <c r="G32" s="6">
        <f>28.4282123509-15.4238718568</f>
        <v>13.004340494100001</v>
      </c>
      <c r="H32" s="5">
        <f t="shared" si="0"/>
        <v>0.130043404941</v>
      </c>
      <c r="I32" s="6">
        <f>18.3343404078-14.477880813</f>
        <v>3.8564595947999987</v>
      </c>
      <c r="J32" s="5">
        <f t="shared" si="8"/>
        <v>0.038564595947999984</v>
      </c>
      <c r="K32" s="3">
        <f t="shared" si="1"/>
        <v>13.089826544245842</v>
      </c>
      <c r="L32" s="3">
        <f t="shared" si="2"/>
        <v>0.8698490515599587</v>
      </c>
      <c r="M32" s="3">
        <f t="shared" si="3"/>
        <v>13.089826544245842</v>
      </c>
      <c r="N32" s="7">
        <f t="shared" si="4"/>
        <v>100.32259061324855</v>
      </c>
      <c r="O32" s="3">
        <f t="shared" si="5"/>
        <v>30.096777183974563</v>
      </c>
      <c r="P32" s="3">
        <f t="shared" si="6"/>
        <v>30.096777183974567</v>
      </c>
      <c r="Q32" s="7">
        <f t="shared" si="9"/>
        <v>1.5096933281030198</v>
      </c>
      <c r="R32" s="2"/>
      <c r="S32" s="2"/>
      <c r="T32" s="2"/>
    </row>
    <row r="33" spans="1:20" ht="15">
      <c r="A33" s="2"/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"/>
      <c r="S33" s="2"/>
      <c r="T33" s="2"/>
    </row>
    <row r="34" spans="18:20" ht="15">
      <c r="R34" s="2"/>
      <c r="S34" s="2"/>
      <c r="T34" s="2"/>
    </row>
    <row r="35" spans="18:20" ht="15">
      <c r="R35" s="2"/>
      <c r="S35" s="2"/>
      <c r="T35" s="2"/>
    </row>
  </sheetData>
  <sheetProtection/>
  <printOptions/>
  <pageMargins left="0.45" right="0.45" top="0.75" bottom="0.75" header="0.3" footer="0.3"/>
  <pageSetup horizontalDpi="600" verticalDpi="600" orientation="portrait" r:id="rId1"/>
  <ignoredErrors>
    <ignoredError sqref="I3:I32 F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physics</cp:lastModifiedBy>
  <cp:lastPrinted>2011-01-29T01:01:31Z</cp:lastPrinted>
  <dcterms:created xsi:type="dcterms:W3CDTF">2011-01-23T00:39:05Z</dcterms:created>
  <dcterms:modified xsi:type="dcterms:W3CDTF">2011-01-29T01:16:32Z</dcterms:modified>
  <cp:category/>
  <cp:version/>
  <cp:contentType/>
  <cp:contentStatus/>
</cp:coreProperties>
</file>